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updateLinks="never"/>
  <mc:AlternateContent xmlns:mc="http://schemas.openxmlformats.org/markup-compatibility/2006">
    <mc:Choice Requires="x15">
      <x15ac:absPath xmlns:x15ac="http://schemas.microsoft.com/office/spreadsheetml/2010/11/ac" url="C:\Users\TChitnee\cces\2.12.0\pwr_char\Tejaswi\"/>
    </mc:Choice>
  </mc:AlternateContent>
  <xr:revisionPtr revIDLastSave="0" documentId="13_ncr:1_{29892AA3-7FFA-40E0-97C4-3156F6474D51}" xr6:coauthVersionLast="47" xr6:coauthVersionMax="47" xr10:uidLastSave="{00000000-0000-0000-0000-000000000000}"/>
  <bookViews>
    <workbookView xWindow="45972" yWindow="-108" windowWidth="23256" windowHeight="12576" tabRatio="761" xr2:uid="{00000000-000D-0000-FFFF-FFFF00000000}"/>
  </bookViews>
  <sheets>
    <sheet name="Power Estimation" sheetId="1" r:id="rId1"/>
    <sheet name="VDD_INT Static Current" sheetId="23" r:id="rId2"/>
    <sheet name="VDD_INT CORE ASF" sheetId="22" r:id="rId3"/>
    <sheet name="VDD_INT DMA Usage" sheetId="19" r:id="rId4"/>
    <sheet name="VDD_INT Accelerators" sheetId="14" r:id="rId5"/>
    <sheet name="VDD_EXT &amp; VDD_REF Power" sheetId="10" r:id="rId6"/>
  </sheets>
  <externalReferences>
    <externalReference r:id="rId7"/>
    <externalReference r:id="rId8"/>
    <externalReference r:id="rId9"/>
    <externalReference r:id="rId10"/>
    <externalReference r:id="rId11"/>
  </externalReferences>
  <definedNames>
    <definedName name="A5_ASF" localSheetId="1">#REF!</definedName>
    <definedName name="A5_ASF">#REF!</definedName>
    <definedName name="Ac" localSheetId="1">#REF!</definedName>
    <definedName name="Ac">#REF!</definedName>
    <definedName name="ActFactSH" localSheetId="1">#REF!</definedName>
    <definedName name="ActFactSH">#REF!</definedName>
    <definedName name="Activity">#REF!</definedName>
    <definedName name="ActivityF">#REF!</definedName>
    <definedName name="ActivityFactor">#REF!</definedName>
    <definedName name="ActivityFactorARM">#REF!</definedName>
    <definedName name="ActivityFactorARM0">#REF!</definedName>
    <definedName name="ActivityFactorARM1" localSheetId="1">#REF!</definedName>
    <definedName name="ActivityFactorARM1">#REF!</definedName>
    <definedName name="ActivityFactorSH" localSheetId="1">#REF!</definedName>
    <definedName name="ActivityFactorSH">#REF!</definedName>
    <definedName name="ActivityFactorSHARC" localSheetId="1">#REF!</definedName>
    <definedName name="ActivityFactorSHARC">#REF!</definedName>
    <definedName name="ActivityFactorSHARC1" localSheetId="1">#REF!</definedName>
    <definedName name="ActivityFactorSHARC1">#REF!</definedName>
    <definedName name="ActivityScalingFactor">'[1]Dynamic Scaling Factors'!$C$4:$D$10</definedName>
    <definedName name="ActivityScalingFactorARM">'[2]Dynamic Scaling Factors'!$C$5:$D$11</definedName>
    <definedName name="AMRAc" localSheetId="1">#REF!</definedName>
    <definedName name="AMRAc">#REF!</definedName>
    <definedName name="asa">'[1]Supporting Tables'!$B$22:$B$23</definedName>
    <definedName name="Average_ASF" localSheetId="1">'[3]Power Estimation'!#REF!,'[3]Power Estimation'!#REF!,'[3]Power Estimation'!$E$31</definedName>
    <definedName name="Average_ASF">'Power Estimation'!#REF!,'Power Estimation'!#REF!,'Power Estimation'!$E$30</definedName>
    <definedName name="Burst_Mode" localSheetId="1">#REF!</definedName>
    <definedName name="Burst_Mode">#REF!</definedName>
    <definedName name="CHOICE">'[1]Supporting Tables'!$B$8:$B$9</definedName>
    <definedName name="ConfigSettings" localSheetId="1">'[3]Power Estimation'!$G$11:$G$16,'[3]Power Estimation'!$G$40,'[3]Power Estimation'!$G$47,'[3]Power Estimation'!#REF!</definedName>
    <definedName name="ConfigSettings">'Power Estimation'!$G$11:$G$17,'Power Estimation'!$G$38,'Power Estimation'!#REF!,'Power Estimation'!#REF!</definedName>
    <definedName name="DDR_BURST">'[1]Supporting Tables'!$C$35:$C$36</definedName>
    <definedName name="DDR2_Freq">[1]ClockSpecs!$E$7</definedName>
    <definedName name="DMA_PROFILE" localSheetId="1">#REF!</definedName>
    <definedName name="DMA_PROFILE">#REF!</definedName>
    <definedName name="DMAACTIVITY" localSheetId="1">#REF!</definedName>
    <definedName name="DMAACTIVITY">#REF!</definedName>
    <definedName name="DMAPROFILE" localSheetId="1">#REF!</definedName>
    <definedName name="DMAPROFILE">#REF!</definedName>
    <definedName name="FFT">'Power Estimation'!$M$23:$M$23</definedName>
    <definedName name="FFT_Activity" localSheetId="1">#REF!</definedName>
    <definedName name="FFT_Activity">#REF!</definedName>
    <definedName name="FFT_CLK" localSheetId="1">#REF!</definedName>
    <definedName name="FFT_CLK">#REF!</definedName>
    <definedName name="Freq">'[1]Dynamic Current'!$C$6:$C$14</definedName>
    <definedName name="GIGE_LIST">[4]GIGE!$C$3:$C$4</definedName>
    <definedName name="GIGE_OPTIONS" localSheetId="1">#REF!</definedName>
    <definedName name="GIGE_OPTIONS">#REF!</definedName>
    <definedName name="GIGE_OPTIOSN" localSheetId="1">#REF!</definedName>
    <definedName name="GIGE_OPTIOSN">#REF!</definedName>
    <definedName name="IDD_BASELINE_DYN">'[1]Dynamic Current'!$D$6:$J$14</definedName>
    <definedName name="IDD_DEEPSLEEP_MAX">'[1]Maximum Static Current'!$D$6:$J$17</definedName>
    <definedName name="IDD_DEEPSLEEP_TYP">'[1]Typical Static Current'!$D$6:$J$17</definedName>
    <definedName name="MLB_LIST">[4]MLB!$C$3:$C$4</definedName>
    <definedName name="MLB_OPTIONS" localSheetId="1">#REF!</definedName>
    <definedName name="MLB_OPTIONS">#REF!</definedName>
    <definedName name="PCIE_CurrentTable" localSheetId="1">#REF!</definedName>
    <definedName name="PCIE_CurrentTable">#REF!</definedName>
    <definedName name="PCIE_OPTIONS" localSheetId="1">#REF!</definedName>
    <definedName name="PCIE_OPTIONS">#REF!</definedName>
    <definedName name="Power_Profile" localSheetId="5">'[1]Supporting Tables'!$B$22:$B$23</definedName>
    <definedName name="Power_Profile">'[5]Supporting Tables'!$B$22:$B$23</definedName>
    <definedName name="PowerModes">'[1]Supporting Tables'!$B$4:$B$5</definedName>
    <definedName name="ProcessorFamily" localSheetId="5">'[1]Supporting Tables'!$B$27</definedName>
    <definedName name="ProcessorFamily">'[5]Supporting Tables'!$B$27</definedName>
    <definedName name="PVP_USED">'[1]Supporting Tables'!$B$13:$C$15</definedName>
    <definedName name="ResourceUsage" localSheetId="1">'[3]Power Estimation'!#REF!</definedName>
    <definedName name="ResourceUsage">'Power Estimation'!#REF!</definedName>
    <definedName name="SCLK0">[1]ClockSpecs!$E$5</definedName>
    <definedName name="SCLK1">[1]ClockSpecs!$E$6</definedName>
    <definedName name="SHARC_ASF" localSheetId="1">#REF!</definedName>
    <definedName name="SHARC_ASF">#REF!</definedName>
    <definedName name="SIDD_Levels" localSheetId="1">#REF!</definedName>
    <definedName name="SIDD_Levels">#REF!</definedName>
    <definedName name="SYSCLK">[1]ClockSpecs!$E$4</definedName>
    <definedName name="Temperature" localSheetId="1">#REF!</definedName>
    <definedName name="Temperature">#REF!</definedName>
    <definedName name="Tj_MAX">'[1]Maximum Static Current'!$C$6:$C$17</definedName>
    <definedName name="Tj_TYP">'[1]Typical Static Current'!$C$6:$C$17</definedName>
    <definedName name="USB_OPTIONS" localSheetId="1">#REF!</definedName>
    <definedName name="USB_OPTIONS">#REF!</definedName>
    <definedName name="USB_USED">'[1]Supporting Tables'!$B$8:$D$9</definedName>
    <definedName name="USB_VDDINT" localSheetId="1">#REF!</definedName>
    <definedName name="USB_VDDINT">#REF!</definedName>
    <definedName name="USB_VDDUSB" localSheetId="1">#REF!</definedName>
    <definedName name="USB_VDDUSB">#REF!</definedName>
    <definedName name="VDD_INT" localSheetId="1">#REF!</definedName>
    <definedName name="VDD_INT">#REF!</definedName>
    <definedName name="VDDDMC_BF60x">'[1]Supporting Tables'!$D$30:$E$30</definedName>
    <definedName name="Vddint_MAX">'[1]Maximum Static Current'!$D$5:$J$5</definedName>
    <definedName name="Vddint_TYP">'[1]Typical Static Current'!$D$5:$J$5</definedName>
    <definedName name="VDDTD_BF60x">'[1]Supporting Tables'!$D$32:$E$32</definedName>
    <definedName name="VDDUSB_BF60x">'[1]Supporting Tables'!$D$31:$E$31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4" i="1" l="1"/>
  <c r="E30" i="1"/>
  <c r="H18" i="1" l="1"/>
  <c r="H34" i="1"/>
  <c r="H33" i="1" l="1"/>
  <c r="H12" i="1" l="1"/>
  <c r="H17" i="1"/>
  <c r="H16" i="1"/>
  <c r="H15" i="1"/>
  <c r="H14" i="1"/>
  <c r="H13" i="1"/>
  <c r="L21" i="1" l="1"/>
  <c r="I12" i="10" l="1"/>
  <c r="K12" i="10" s="1"/>
  <c r="J12" i="10"/>
  <c r="L12" i="10" s="1"/>
  <c r="I13" i="10"/>
  <c r="J13" i="10"/>
  <c r="L13" i="10" s="1"/>
  <c r="I14" i="10"/>
  <c r="J14" i="10"/>
  <c r="L14" i="10" s="1"/>
  <c r="I15" i="10"/>
  <c r="J15" i="10"/>
  <c r="L15" i="10" s="1"/>
  <c r="I16" i="10"/>
  <c r="J16" i="10"/>
  <c r="L16" i="10" s="1"/>
  <c r="I17" i="10"/>
  <c r="J17" i="10"/>
  <c r="L17" i="10" s="1"/>
  <c r="H35" i="1" l="1"/>
  <c r="H19" i="1" l="1"/>
  <c r="L15" i="1" s="1"/>
  <c r="L16" i="1" l="1"/>
  <c r="L20" i="1"/>
  <c r="K17" i="10"/>
  <c r="K16" i="10"/>
  <c r="K15" i="10"/>
  <c r="K14" i="10"/>
  <c r="K13" i="10"/>
  <c r="J11" i="10"/>
  <c r="L11" i="10" s="1"/>
  <c r="I11" i="10"/>
  <c r="K11" i="10" s="1"/>
  <c r="J10" i="10"/>
  <c r="L10" i="10" s="1"/>
  <c r="I10" i="10"/>
  <c r="K22" i="10" l="1"/>
  <c r="H40" i="1" s="1"/>
  <c r="K23" i="10"/>
  <c r="H48" i="1" l="1"/>
  <c r="H47" i="1" s="1"/>
  <c r="H39" i="1"/>
  <c r="L22" i="1" l="1"/>
  <c r="M27" i="1" s="1"/>
</calcChain>
</file>

<file path=xl/sharedStrings.xml><?xml version="1.0" encoding="utf-8"?>
<sst xmlns="http://schemas.openxmlformats.org/spreadsheetml/2006/main" count="153" uniqueCount="135">
  <si>
    <t>Green cells are automatically computed</t>
  </si>
  <si>
    <t>Relevant Power Domains</t>
  </si>
  <si>
    <t>SYSCLK (MHz)</t>
  </si>
  <si>
    <t>SCLK0 (MHz)</t>
  </si>
  <si>
    <t>SCLK1 (MHz)</t>
  </si>
  <si>
    <t>Resource Usage</t>
  </si>
  <si>
    <r>
      <t>T</t>
    </r>
    <r>
      <rPr>
        <vertAlign val="subscript"/>
        <sz val="11"/>
        <color theme="1"/>
        <rFont val="Calibri"/>
        <family val="2"/>
        <scheme val="minor"/>
      </rPr>
      <t>j</t>
    </r>
    <r>
      <rPr>
        <sz val="11"/>
        <color theme="1"/>
        <rFont val="Calibri"/>
        <family val="2"/>
        <scheme val="minor"/>
      </rPr>
      <t xml:space="preserve"> (</t>
    </r>
    <r>
      <rPr>
        <sz val="11"/>
        <color theme="1"/>
        <rFont val="Calibri"/>
        <family val="2"/>
      </rPr>
      <t>°</t>
    </r>
    <r>
      <rPr>
        <sz val="11"/>
        <color theme="1"/>
        <rFont val="Calibri"/>
        <family val="2"/>
        <scheme val="minor"/>
      </rPr>
      <t>C)</t>
    </r>
  </si>
  <si>
    <t>Activity Factor</t>
  </si>
  <si>
    <t>30-70</t>
  </si>
  <si>
    <t>50-50</t>
  </si>
  <si>
    <t>70-30 (Typical)</t>
  </si>
  <si>
    <t>Contribution (mA)</t>
  </si>
  <si>
    <t>Clock Domains &amp; DMA Rates</t>
  </si>
  <si>
    <t>Dynamic Current (A1)</t>
  </si>
  <si>
    <t>Dynamic Current (A2)</t>
  </si>
  <si>
    <t>Static Current (mA)</t>
  </si>
  <si>
    <t>OCLK(MHz)</t>
  </si>
  <si>
    <t>Toggle
Ratio (TR)</t>
  </si>
  <si>
    <t>Number of Output Pins (O)</t>
  </si>
  <si>
    <t>Frequency in Hz (f)</t>
  </si>
  <si>
    <t>Peripheral</t>
  </si>
  <si>
    <t>Average ASF</t>
  </si>
  <si>
    <t>MEDIUM</t>
  </si>
  <si>
    <t>LOW</t>
  </si>
  <si>
    <t>Clock_Gated</t>
  </si>
  <si>
    <r>
      <t>V</t>
    </r>
    <r>
      <rPr>
        <vertAlign val="subscript"/>
        <sz val="11"/>
        <color theme="1"/>
        <rFont val="Calibri"/>
        <family val="2"/>
        <scheme val="minor"/>
      </rPr>
      <t>DD_INT</t>
    </r>
    <r>
      <rPr>
        <sz val="11"/>
        <color theme="1"/>
        <rFont val="Calibri"/>
        <family val="2"/>
        <scheme val="minor"/>
      </rPr>
      <t xml:space="preserve"> (V)</t>
    </r>
  </si>
  <si>
    <r>
      <t>Total V</t>
    </r>
    <r>
      <rPr>
        <b/>
        <vertAlign val="subscript"/>
        <sz val="11"/>
        <color theme="1"/>
        <rFont val="Calibri"/>
        <family val="2"/>
        <scheme val="minor"/>
      </rPr>
      <t>DD_INT</t>
    </r>
    <r>
      <rPr>
        <b/>
        <sz val="11"/>
        <color theme="1"/>
        <rFont val="Calibri"/>
        <family val="2"/>
        <scheme val="minor"/>
      </rPr>
      <t xml:space="preserve"> Power (W)</t>
    </r>
  </si>
  <si>
    <t>Total Estimated Chip Power (W)</t>
  </si>
  <si>
    <t>Notes</t>
  </si>
  <si>
    <t>Yellow cells require system-dependent user input</t>
  </si>
  <si>
    <t>DMA Profile</t>
  </si>
  <si>
    <r>
      <rPr>
        <b/>
        <i/>
        <sz val="14"/>
        <color theme="1"/>
        <rFont val="Calibri"/>
        <family val="2"/>
        <scheme val="minor"/>
      </rPr>
      <t>ALL</t>
    </r>
    <r>
      <rPr>
        <sz val="14"/>
        <color theme="1"/>
        <rFont val="Calibri"/>
        <family val="2"/>
        <scheme val="minor"/>
      </rPr>
      <t xml:space="preserve"> yellow cells require application-specific user input</t>
    </r>
  </si>
  <si>
    <t>Green cells are automatically populated/computed</t>
  </si>
  <si>
    <r>
      <t>V</t>
    </r>
    <r>
      <rPr>
        <vertAlign val="subscript"/>
        <sz val="24"/>
        <color theme="1"/>
        <rFont val="Calibri"/>
        <family val="2"/>
        <scheme val="minor"/>
      </rPr>
      <t>DD_EXT</t>
    </r>
  </si>
  <si>
    <r>
      <t>V</t>
    </r>
    <r>
      <rPr>
        <vertAlign val="subscript"/>
        <sz val="11"/>
        <color theme="1"/>
        <rFont val="Calibri"/>
        <family val="2"/>
        <scheme val="minor"/>
      </rPr>
      <t>DD_EXT</t>
    </r>
    <r>
      <rPr>
        <sz val="11"/>
        <color theme="1"/>
        <rFont val="Calibri"/>
        <family val="2"/>
        <scheme val="minor"/>
      </rPr>
      <t xml:space="preserve"> (V)</t>
    </r>
  </si>
  <si>
    <r>
      <t>P</t>
    </r>
    <r>
      <rPr>
        <vertAlign val="subscript"/>
        <sz val="11"/>
        <color theme="1"/>
        <rFont val="Calibri"/>
        <family val="2"/>
        <scheme val="minor"/>
      </rPr>
      <t>DD_EXT</t>
    </r>
    <r>
      <rPr>
        <sz val="11"/>
        <color theme="1"/>
        <rFont val="Calibri"/>
        <family val="2"/>
        <scheme val="minor"/>
      </rPr>
      <t xml:space="preserve"> (W)</t>
    </r>
  </si>
  <si>
    <t>FIR Activity</t>
  </si>
  <si>
    <t>IIR Activity</t>
  </si>
  <si>
    <t>Junction Temperature(°C)</t>
  </si>
  <si>
    <r>
      <t>P</t>
    </r>
    <r>
      <rPr>
        <vertAlign val="subscript"/>
        <sz val="11"/>
        <color theme="1"/>
        <rFont val="Calibri"/>
        <family val="2"/>
        <scheme val="minor"/>
      </rPr>
      <t>DD_REF</t>
    </r>
    <r>
      <rPr>
        <sz val="11"/>
        <color theme="1"/>
        <rFont val="Calibri"/>
        <family val="2"/>
        <scheme val="minor"/>
      </rPr>
      <t xml:space="preserve"> (W)</t>
    </r>
  </si>
  <si>
    <t>FIR Accelerator</t>
  </si>
  <si>
    <t>IIR Accelerator</t>
  </si>
  <si>
    <t>Total Dynamic Current (mA)</t>
  </si>
  <si>
    <t>Total VDD_INT current (mA)</t>
  </si>
  <si>
    <t>NOPs 100%</t>
  </si>
  <si>
    <t xml:space="preserve"> Activity Condition</t>
  </si>
  <si>
    <t>100% (Peak)</t>
  </si>
  <si>
    <t>IDLE 100%</t>
  </si>
  <si>
    <t>Note: This profile is for the worst case fabrication process.</t>
  </si>
  <si>
    <r>
      <t>V</t>
    </r>
    <r>
      <rPr>
        <vertAlign val="subscript"/>
        <sz val="11"/>
        <color theme="1"/>
        <rFont val="Calibri"/>
        <family val="2"/>
        <scheme val="minor"/>
      </rPr>
      <t>DD_EXT_REF</t>
    </r>
    <r>
      <rPr>
        <sz val="11"/>
        <color theme="1"/>
        <rFont val="Calibri"/>
        <family val="2"/>
        <scheme val="minor"/>
      </rPr>
      <t xml:space="preserve"> (V)</t>
    </r>
  </si>
  <si>
    <r>
      <t>I</t>
    </r>
    <r>
      <rPr>
        <b/>
        <vertAlign val="subscript"/>
        <sz val="11"/>
        <color theme="1"/>
        <rFont val="Calibri"/>
        <family val="2"/>
        <scheme val="minor"/>
      </rPr>
      <t>DDINT_FIR_DR_DYN</t>
    </r>
    <r>
      <rPr>
        <b/>
        <sz val="11"/>
        <color theme="1"/>
        <rFont val="Calibri"/>
        <family val="2"/>
        <scheme val="minor"/>
      </rPr>
      <t xml:space="preserve"> Current (mA)</t>
    </r>
  </si>
  <si>
    <r>
      <t>I</t>
    </r>
    <r>
      <rPr>
        <b/>
        <vertAlign val="subscript"/>
        <sz val="11"/>
        <color theme="1"/>
        <rFont val="Calibri"/>
        <family val="2"/>
        <scheme val="minor"/>
      </rPr>
      <t>DDINT_IIR_DR_DYN</t>
    </r>
    <r>
      <rPr>
        <b/>
        <sz val="11"/>
        <color theme="1"/>
        <rFont val="Calibri"/>
        <family val="2"/>
        <scheme val="minor"/>
      </rPr>
      <t xml:space="preserve"> Current (mA)</t>
    </r>
  </si>
  <si>
    <r>
      <t>I</t>
    </r>
    <r>
      <rPr>
        <vertAlign val="subscript"/>
        <sz val="11"/>
        <color theme="1"/>
        <rFont val="Calibri"/>
        <family val="2"/>
        <scheme val="minor"/>
      </rPr>
      <t>DD_EXT</t>
    </r>
    <r>
      <rPr>
        <sz val="11"/>
        <color theme="1"/>
        <rFont val="Calibri"/>
        <family val="2"/>
        <scheme val="minor"/>
      </rPr>
      <t xml:space="preserve"> (A)</t>
    </r>
  </si>
  <si>
    <r>
      <t>I</t>
    </r>
    <r>
      <rPr>
        <vertAlign val="subscript"/>
        <sz val="11"/>
        <color theme="1"/>
        <rFont val="Calibri"/>
        <family val="2"/>
        <scheme val="minor"/>
      </rPr>
      <t>DD_REF</t>
    </r>
    <r>
      <rPr>
        <sz val="11"/>
        <color theme="1"/>
        <rFont val="Calibri"/>
        <family val="2"/>
        <scheme val="minor"/>
      </rPr>
      <t xml:space="preserve"> (A)</t>
    </r>
  </si>
  <si>
    <t>VDD_REF current per IO (mA)</t>
  </si>
  <si>
    <r>
      <t>P</t>
    </r>
    <r>
      <rPr>
        <vertAlign val="subscript"/>
        <sz val="12"/>
        <color indexed="18"/>
        <rFont val="Courier New"/>
        <family val="3"/>
      </rPr>
      <t>DDEXT</t>
    </r>
    <r>
      <rPr>
        <sz val="12"/>
        <color indexed="18"/>
        <rFont val="Courier New"/>
        <family val="3"/>
      </rPr>
      <t xml:space="preserve"> = [(V</t>
    </r>
    <r>
      <rPr>
        <vertAlign val="subscript"/>
        <sz val="12"/>
        <color indexed="18"/>
        <rFont val="Courier New"/>
        <family val="3"/>
      </rPr>
      <t>DDEXT</t>
    </r>
    <r>
      <rPr>
        <sz val="12"/>
        <color indexed="18"/>
        <rFont val="Courier New"/>
        <family val="3"/>
      </rPr>
      <t>)</t>
    </r>
    <r>
      <rPr>
        <vertAlign val="superscript"/>
        <sz val="12"/>
        <color indexed="18"/>
        <rFont val="Courier New"/>
        <family val="3"/>
      </rPr>
      <t>2</t>
    </r>
    <r>
      <rPr>
        <sz val="12"/>
        <color indexed="18"/>
        <rFont val="Courier New"/>
        <family val="3"/>
      </rPr>
      <t xml:space="preserve"> * C</t>
    </r>
    <r>
      <rPr>
        <vertAlign val="subscript"/>
        <sz val="12"/>
        <color indexed="18"/>
        <rFont val="Courier New"/>
        <family val="3"/>
      </rPr>
      <t>L</t>
    </r>
    <r>
      <rPr>
        <sz val="12"/>
        <color indexed="18"/>
        <rFont val="Courier New"/>
        <family val="3"/>
      </rPr>
      <t xml:space="preserve"> * f * (O*TR) * U * 1000] mW</t>
    </r>
  </si>
  <si>
    <t>SPORT0-7 -Data pins</t>
  </si>
  <si>
    <t>SPORT0-7 - Clock</t>
  </si>
  <si>
    <t>SPI2 - Data pins</t>
  </si>
  <si>
    <t xml:space="preserve">SPI2 - Clock </t>
  </si>
  <si>
    <t>SPI1 - Data pins</t>
  </si>
  <si>
    <t xml:space="preserve">SPI1- Clock </t>
  </si>
  <si>
    <t>SPI10- Data pins</t>
  </si>
  <si>
    <t xml:space="preserve">SPI0- Clock </t>
  </si>
  <si>
    <t>31.25MHz max frequency cycle, Quad mode (4 pins @ 0.25 toggle ratio)</t>
  </si>
  <si>
    <t>31.25MHz max frequency cycle, Dual mode (2 pins @ 0.25 toggle ratio)</t>
  </si>
  <si>
    <t>This is an example use-case and is highly aggressive on the frequency of operation and utilization numbers.</t>
  </si>
  <si>
    <t>31.25MHz max frequency cycle, 2 pins per SPORT x 8 (16 pins @ 0.25 toggle ratio)</t>
  </si>
  <si>
    <r>
      <t>V</t>
    </r>
    <r>
      <rPr>
        <b/>
        <vertAlign val="subscript"/>
        <sz val="11"/>
        <color theme="1"/>
        <rFont val="Calibri"/>
        <family val="2"/>
        <scheme val="minor"/>
      </rPr>
      <t>DD_INT</t>
    </r>
    <r>
      <rPr>
        <b/>
        <sz val="11"/>
        <color theme="1"/>
        <rFont val="Calibri"/>
        <family val="2"/>
        <scheme val="minor"/>
      </rPr>
      <t xml:space="preserve"> Parameters</t>
    </r>
  </si>
  <si>
    <r>
      <t>I/O VREF Current table for P</t>
    </r>
    <r>
      <rPr>
        <b/>
        <vertAlign val="subscript"/>
        <sz val="11"/>
        <color theme="1"/>
        <rFont val="Calibri"/>
        <family val="2"/>
        <scheme val="minor"/>
      </rPr>
      <t>DD_REF</t>
    </r>
    <r>
      <rPr>
        <b/>
        <sz val="11"/>
        <color theme="1"/>
        <rFont val="Calibri"/>
        <family val="2"/>
        <scheme val="minor"/>
      </rPr>
      <t xml:space="preserve"> calculation</t>
    </r>
  </si>
  <si>
    <r>
      <t>P</t>
    </r>
    <r>
      <rPr>
        <b/>
        <vertAlign val="subscript"/>
        <sz val="11"/>
        <color theme="1"/>
        <rFont val="Calibri"/>
        <family val="2"/>
        <scheme val="minor"/>
      </rPr>
      <t>DD_EXT</t>
    </r>
    <r>
      <rPr>
        <b/>
        <sz val="11"/>
        <color theme="1"/>
        <rFont val="Calibri"/>
        <family val="2"/>
        <scheme val="minor"/>
      </rPr>
      <t xml:space="preserve"> - Total External Power Dissipation (mW)</t>
    </r>
  </si>
  <si>
    <r>
      <t>P</t>
    </r>
    <r>
      <rPr>
        <b/>
        <vertAlign val="subscript"/>
        <sz val="11"/>
        <color theme="1"/>
        <rFont val="Calibri"/>
        <family val="2"/>
        <scheme val="minor"/>
      </rPr>
      <t>DD_REF -</t>
    </r>
    <r>
      <rPr>
        <b/>
        <sz val="11"/>
        <color theme="1"/>
        <rFont val="Calibri"/>
        <family val="2"/>
        <scheme val="minor"/>
      </rPr>
      <t xml:space="preserve">  Total VREF Dissipation (mW)</t>
    </r>
  </si>
  <si>
    <t>Types of Power Calculations</t>
  </si>
  <si>
    <t>ASF &lt; 1</t>
  </si>
  <si>
    <t>Max Temp</t>
  </si>
  <si>
    <t>Nominal Voltage</t>
  </si>
  <si>
    <t>ASF = Peak</t>
  </si>
  <si>
    <t>Max Voltage</t>
  </si>
  <si>
    <t>ASF = 1</t>
  </si>
  <si>
    <t>25 deg C</t>
  </si>
  <si>
    <t xml:space="preserve"> (see datasheet)</t>
  </si>
  <si>
    <t>ASF to be chosen 
(Activity Scaling Factor)</t>
  </si>
  <si>
    <t>Temperature 
to be considered</t>
  </si>
  <si>
    <t>Typical Thermal and Power scenarios</t>
  </si>
  <si>
    <t>Voltage Domain Levels 
to be considered</t>
  </si>
  <si>
    <t>62.5MHz operation</t>
  </si>
  <si>
    <r>
      <t>V</t>
    </r>
    <r>
      <rPr>
        <vertAlign val="subscript"/>
        <sz val="24"/>
        <color theme="1"/>
        <rFont val="Calibri"/>
        <family val="2"/>
        <scheme val="minor"/>
      </rPr>
      <t>DD_REF</t>
    </r>
  </si>
  <si>
    <r>
      <rPr>
        <b/>
        <sz val="12"/>
        <color theme="1"/>
        <rFont val="Calibri"/>
        <family val="2"/>
        <scheme val="minor"/>
      </rPr>
      <t>I</t>
    </r>
    <r>
      <rPr>
        <b/>
        <vertAlign val="subscript"/>
        <sz val="12"/>
        <color theme="1"/>
        <rFont val="Calibri"/>
        <family val="2"/>
        <scheme val="minor"/>
      </rPr>
      <t>DDINT_DMA_DR_DYN</t>
    </r>
    <r>
      <rPr>
        <b/>
        <sz val="11"/>
        <color theme="1"/>
        <rFont val="Calibri"/>
        <family val="2"/>
        <scheme val="minor"/>
      </rPr>
      <t xml:space="preserve"> Current (mA)</t>
    </r>
  </si>
  <si>
    <r>
      <t>Pin Capacitance in Farads (C</t>
    </r>
    <r>
      <rPr>
        <b/>
        <vertAlign val="subscript"/>
        <sz val="11"/>
        <rFont val="Calibri"/>
        <family val="2"/>
        <scheme val="minor"/>
      </rPr>
      <t>L</t>
    </r>
    <r>
      <rPr>
        <b/>
        <sz val="11"/>
        <rFont val="Calibri"/>
        <family val="2"/>
        <scheme val="minor"/>
      </rPr>
      <t>)</t>
    </r>
  </si>
  <si>
    <r>
      <t>V</t>
    </r>
    <r>
      <rPr>
        <b/>
        <vertAlign val="subscript"/>
        <sz val="11"/>
        <rFont val="Calibri"/>
        <family val="2"/>
        <scheme val="minor"/>
      </rPr>
      <t>DD_EXT</t>
    </r>
    <r>
      <rPr>
        <b/>
        <sz val="11"/>
        <rFont val="Calibri"/>
        <family val="2"/>
        <scheme val="minor"/>
      </rPr>
      <t xml:space="preserve">    (V)</t>
    </r>
  </si>
  <si>
    <t>Utilization Factor (U)</t>
  </si>
  <si>
    <r>
      <t>V</t>
    </r>
    <r>
      <rPr>
        <b/>
        <vertAlign val="subscript"/>
        <sz val="11"/>
        <rFont val="Calibri"/>
        <family val="2"/>
        <scheme val="minor"/>
      </rPr>
      <t>DD_REF</t>
    </r>
    <r>
      <rPr>
        <b/>
        <sz val="11"/>
        <rFont val="Calibri"/>
        <family val="2"/>
        <scheme val="minor"/>
      </rPr>
      <t xml:space="preserve">   
(V)</t>
    </r>
  </si>
  <si>
    <t>Thermal average power</t>
  </si>
  <si>
    <t>Peak power for power supply design</t>
  </si>
  <si>
    <t xml:space="preserve">Typical power </t>
  </si>
  <si>
    <r>
      <t>P</t>
    </r>
    <r>
      <rPr>
        <b/>
        <vertAlign val="subscript"/>
        <sz val="11"/>
        <rFont val="Calibri"/>
        <family val="2"/>
        <scheme val="minor"/>
      </rPr>
      <t>DD_EXT</t>
    </r>
    <r>
      <rPr>
        <b/>
        <sz val="11"/>
        <rFont val="Calibri"/>
        <family val="2"/>
        <scheme val="minor"/>
      </rPr>
      <t xml:space="preserve"> 
(mW)</t>
    </r>
  </si>
  <si>
    <r>
      <t>P</t>
    </r>
    <r>
      <rPr>
        <b/>
        <vertAlign val="subscript"/>
        <sz val="11"/>
        <rFont val="Calibri"/>
        <family val="2"/>
        <scheme val="minor"/>
      </rPr>
      <t xml:space="preserve">DD_REF
</t>
    </r>
    <r>
      <rPr>
        <b/>
        <sz val="11"/>
        <rFont val="Calibri"/>
        <family val="2"/>
        <scheme val="minor"/>
      </rPr>
      <t>(mW)</t>
    </r>
  </si>
  <si>
    <t>Lower Frequency limit
of I/O switching (MHz)</t>
  </si>
  <si>
    <t>Upper Frequency limit 
of I/O switching (MHz)</t>
  </si>
  <si>
    <r>
      <t>V</t>
    </r>
    <r>
      <rPr>
        <b/>
        <vertAlign val="subscript"/>
        <sz val="11"/>
        <color theme="1"/>
        <rFont val="Calibri"/>
        <family val="2"/>
        <scheme val="minor"/>
      </rPr>
      <t xml:space="preserve">DD_INT </t>
    </r>
    <r>
      <rPr>
        <b/>
        <sz val="11"/>
        <color theme="1"/>
        <rFont val="Calibri"/>
        <family val="2"/>
        <scheme val="minor"/>
      </rPr>
      <t>(V)</t>
    </r>
  </si>
  <si>
    <t>Percentage On time</t>
  </si>
  <si>
    <t>At 100 percent On time per instance</t>
  </si>
  <si>
    <t>FIR0</t>
  </si>
  <si>
    <t>IIR0</t>
  </si>
  <si>
    <r>
      <t>V</t>
    </r>
    <r>
      <rPr>
        <vertAlign val="subscript"/>
        <sz val="11"/>
        <color theme="1"/>
        <rFont val="Calibri"/>
        <family val="2"/>
        <scheme val="minor"/>
      </rPr>
      <t>DD_INT</t>
    </r>
    <r>
      <rPr>
        <sz val="11"/>
        <color theme="1"/>
        <rFont val="Calibri"/>
        <family val="2"/>
        <scheme val="minor"/>
      </rPr>
      <t xml:space="preserve"> Dynamic Power (W)</t>
    </r>
  </si>
  <si>
    <r>
      <t>V</t>
    </r>
    <r>
      <rPr>
        <vertAlign val="subscript"/>
        <sz val="11"/>
        <color theme="1"/>
        <rFont val="Calibri"/>
        <family val="2"/>
        <scheme val="minor"/>
      </rPr>
      <t>DD_INT</t>
    </r>
    <r>
      <rPr>
        <sz val="11"/>
        <color theme="1"/>
        <rFont val="Calibri"/>
        <family val="2"/>
        <scheme val="minor"/>
      </rPr>
      <t xml:space="preserve"> Static Power (W)</t>
    </r>
  </si>
  <si>
    <t>Approx. Bandwidth (MBPS)</t>
  </si>
  <si>
    <t>SHARC+ Core Clock Frequency (MHz)</t>
  </si>
  <si>
    <t>Core Light sleep</t>
  </si>
  <si>
    <t>CORE0 (SHARC) Average ASF</t>
  </si>
  <si>
    <t xml:space="preserve">•	8 SPORTS @62.5MHz in RX mode with PRI/SEC enabled (Writing Data to L2)
•	8 SPORTS @62.5MHz in TX mode with PRI/SEC enabled (Reading Data from L2)
•	SPI2/SPI1 in Quad mode, SPI0 in Dual mode TX operation @62.5MHz (Reading Data from L2) 
</t>
  </si>
  <si>
    <t>HIGH</t>
  </si>
  <si>
    <t>SHARC0</t>
  </si>
  <si>
    <t>DMA/Peripheral Usage  (@ SHARC0 Core Clock at 1GHz)</t>
  </si>
  <si>
    <t>Estimating Power for ADSP-21568 SHARC Processor</t>
  </si>
  <si>
    <r>
      <t>V</t>
    </r>
    <r>
      <rPr>
        <vertAlign val="subscript"/>
        <sz val="18"/>
        <color theme="1"/>
        <rFont val="Calibri"/>
        <family val="2"/>
        <scheme val="minor"/>
      </rPr>
      <t>DD_INT</t>
    </r>
    <r>
      <rPr>
        <sz val="18"/>
        <color theme="1"/>
        <rFont val="Calibri"/>
        <family val="2"/>
        <scheme val="minor"/>
      </rPr>
      <t>, V</t>
    </r>
    <r>
      <rPr>
        <vertAlign val="subscript"/>
        <sz val="18"/>
        <color theme="1"/>
        <rFont val="Calibri"/>
        <family val="2"/>
        <scheme val="minor"/>
      </rPr>
      <t>DD_EXT</t>
    </r>
    <r>
      <rPr>
        <sz val="18"/>
        <color theme="1"/>
        <rFont val="Calibri"/>
        <family val="2"/>
        <scheme val="minor"/>
      </rPr>
      <t>, V</t>
    </r>
    <r>
      <rPr>
        <vertAlign val="subscript"/>
        <sz val="18"/>
        <color theme="1"/>
        <rFont val="Calibri"/>
        <family val="2"/>
        <scheme val="minor"/>
      </rPr>
      <t>DD_REF</t>
    </r>
  </si>
  <si>
    <t>XCLK (MHz)</t>
  </si>
  <si>
    <t>SHARC ASF Vector Definitions</t>
  </si>
  <si>
    <r>
      <t>I</t>
    </r>
    <r>
      <rPr>
        <vertAlign val="subscript"/>
        <sz val="11"/>
        <color theme="1"/>
        <rFont val="Calibri"/>
        <family val="2"/>
        <scheme val="minor"/>
      </rPr>
      <t>DD-LIGHTSLEEP</t>
    </r>
  </si>
  <si>
    <r>
      <t>I</t>
    </r>
    <r>
      <rPr>
        <vertAlign val="subscript"/>
        <sz val="11"/>
        <color theme="1"/>
        <rFont val="Calibri"/>
        <family val="2"/>
        <scheme val="minor"/>
      </rPr>
      <t>DD-IDLE</t>
    </r>
  </si>
  <si>
    <r>
      <t>I</t>
    </r>
    <r>
      <rPr>
        <vertAlign val="subscript"/>
        <sz val="11"/>
        <color theme="1"/>
        <rFont val="Calibri"/>
        <family val="2"/>
        <scheme val="minor"/>
      </rPr>
      <t>DD-NOP</t>
    </r>
  </si>
  <si>
    <r>
      <t>I</t>
    </r>
    <r>
      <rPr>
        <vertAlign val="subscript"/>
        <sz val="11"/>
        <color theme="1"/>
        <rFont val="Calibri"/>
        <family val="2"/>
        <scheme val="minor"/>
      </rPr>
      <t>DD-TYP_3070</t>
    </r>
  </si>
  <si>
    <r>
      <t>I</t>
    </r>
    <r>
      <rPr>
        <vertAlign val="subscript"/>
        <sz val="11"/>
        <color theme="1"/>
        <rFont val="Calibri"/>
        <family val="2"/>
        <scheme val="minor"/>
      </rPr>
      <t>DD-TYP_5050</t>
    </r>
  </si>
  <si>
    <r>
      <t>I</t>
    </r>
    <r>
      <rPr>
        <vertAlign val="subscript"/>
        <sz val="11"/>
        <color theme="1"/>
        <rFont val="Calibri"/>
        <family val="2"/>
        <scheme val="minor"/>
      </rPr>
      <t>DD-TYP_7030</t>
    </r>
  </si>
  <si>
    <r>
      <t>I</t>
    </r>
    <r>
      <rPr>
        <vertAlign val="subscript"/>
        <sz val="11"/>
        <color theme="1"/>
        <rFont val="Calibri"/>
        <family val="2"/>
        <scheme val="minor"/>
      </rPr>
      <t>DD-PEAK_100</t>
    </r>
  </si>
  <si>
    <t xml:space="preserve">             (At SHARC Core Clock=1GHz)</t>
  </si>
  <si>
    <t>SHARC is in light sleep</t>
  </si>
  <si>
    <t xml:space="preserve">SHARC executes floating point multiplication, addition, subtraction and store instructions 100% of the time </t>
  </si>
  <si>
    <t>SHARC executes floating point multiplication, addition, subtraction and store instructions 70% of the time  (30% NOPs)</t>
  </si>
  <si>
    <t>SHARC executes floating point multiplication, addition, subtraction and store instructions 50% of the time  (50% NOPs)</t>
  </si>
  <si>
    <t>SHARC executes floating point multiplication, addition, subtraction and store instructions 30% of the time  (70% NOPs)</t>
  </si>
  <si>
    <t>SHARC executes NOPs only</t>
  </si>
  <si>
    <t>SHARC is idle</t>
  </si>
  <si>
    <t>•	The following peripheral and memory DMAs are active in this configuration:
•	8 SPORTS @62.5MHz in RX mode with PRI/SEC enabled (Writing Data to L2)
•	8 SPORTS @62.5MHz in TX mode with PRI/SEC enabled (Reading Data from L2)
•	SPI2/SPI1 in Quad mode, SPI0 in Dual mode TX operation @62.5MHz (Reading Data from L2) 
•	1x Medium Speed MDMA transferring data from L1 to L2
•	1x Medium Speed MDMA transferring data from XSPI to L1(XSPI @ 166MHz)</t>
  </si>
  <si>
    <t>•	8 SPORTS @62.5MHz in RX mode with PRI/SEC enabled (Writing Data to L2)
•	8 SPORTS @62.5MHz in TX mode with PRI/SEC enabled (Reading Data from L2)
•	SPI2/SPI1 in Quad mode, SPI0 in Dual mode TX operation @62.5MHz (Reading Data from L2) 
•	1x Medium Speed MDMA transferring data from L1 to L2
•	1x Medium Speed MDMA transferring data from L2 to L1
•	1x Medium Speed MDMA transferring data from XSPI to L1(XSPI @ 166MHz)
•	1x High Speed MDMA transferring data from L1 to L2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</si>
</sst>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"/>
    <numFmt numFmtId="166" formatCode="0.0"/>
  </numFmts>
  <fonts count="3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</font>
    <font>
      <vertAlign val="subscript"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sz val="36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color indexed="18"/>
      <name val="Courier New"/>
      <family val="3"/>
    </font>
    <font>
      <b/>
      <sz val="12"/>
      <color indexed="18"/>
      <name val="Courier New"/>
      <family val="3"/>
    </font>
    <font>
      <sz val="10"/>
      <name val="Arial"/>
      <family val="2"/>
    </font>
    <font>
      <b/>
      <sz val="10"/>
      <name val="Arial"/>
      <family val="2"/>
    </font>
    <font>
      <vertAlign val="subscript"/>
      <sz val="12"/>
      <color indexed="18"/>
      <name val="Courier New"/>
      <family val="3"/>
    </font>
    <font>
      <vertAlign val="superscript"/>
      <sz val="12"/>
      <color indexed="18"/>
      <name val="Courier New"/>
      <family val="3"/>
    </font>
    <font>
      <sz val="24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vertAlign val="subscript"/>
      <sz val="18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vertAlign val="subscript"/>
      <sz val="24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vertAlign val="subscript"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vertAlign val="subscript"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05">
    <xf numFmtId="0" fontId="0" fillId="0" borderId="0" xfId="0"/>
    <xf numFmtId="0" fontId="0" fillId="3" borderId="0" xfId="0" applyFill="1"/>
    <xf numFmtId="0" fontId="0" fillId="3" borderId="0" xfId="0" applyFill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2" borderId="1" xfId="0" applyFill="1" applyBorder="1" applyAlignment="1">
      <alignment horizontal="center"/>
    </xf>
    <xf numFmtId="164" fontId="0" fillId="3" borderId="0" xfId="0" applyNumberFormat="1" applyFill="1"/>
    <xf numFmtId="0" fontId="1" fillId="0" borderId="0" xfId="0" applyFont="1"/>
    <xf numFmtId="0" fontId="11" fillId="0" borderId="0" xfId="0" applyFont="1" applyAlignment="1">
      <alignment horizontal="left"/>
    </xf>
    <xf numFmtId="0" fontId="0" fillId="3" borderId="6" xfId="0" applyFill="1" applyBorder="1"/>
    <xf numFmtId="0" fontId="0" fillId="3" borderId="6" xfId="0" applyFill="1" applyBorder="1" applyAlignment="1">
      <alignment horizontal="center"/>
    </xf>
    <xf numFmtId="2" fontId="0" fillId="3" borderId="7" xfId="0" applyNumberFormat="1" applyFill="1" applyBorder="1" applyAlignment="1">
      <alignment horizontal="center"/>
    </xf>
    <xf numFmtId="2" fontId="0" fillId="3" borderId="19" xfId="0" applyNumberFormat="1" applyFill="1" applyBorder="1" applyAlignment="1">
      <alignment horizontal="center"/>
    </xf>
    <xf numFmtId="0" fontId="0" fillId="3" borderId="11" xfId="0" applyFill="1" applyBorder="1"/>
    <xf numFmtId="0" fontId="0" fillId="3" borderId="11" xfId="0" applyFill="1" applyBorder="1" applyAlignment="1">
      <alignment horizontal="center"/>
    </xf>
    <xf numFmtId="2" fontId="0" fillId="3" borderId="12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 wrapText="1"/>
    </xf>
    <xf numFmtId="0" fontId="0" fillId="3" borderId="0" xfId="0" applyFill="1" applyAlignment="1">
      <alignment horizontal="left"/>
    </xf>
    <xf numFmtId="0" fontId="0" fillId="0" borderId="0" xfId="0" applyAlignment="1">
      <alignment horizontal="center"/>
    </xf>
    <xf numFmtId="2" fontId="0" fillId="4" borderId="9" xfId="0" applyNumberFormat="1" applyFill="1" applyBorder="1" applyAlignment="1">
      <alignment horizontal="center"/>
    </xf>
    <xf numFmtId="164" fontId="0" fillId="4" borderId="9" xfId="0" applyNumberFormat="1" applyFill="1" applyBorder="1" applyAlignment="1">
      <alignment horizontal="center"/>
    </xf>
    <xf numFmtId="11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164" fontId="0" fillId="4" borderId="2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0" fillId="3" borderId="4" xfId="0" applyFill="1" applyBorder="1" applyAlignment="1">
      <alignment horizontal="left"/>
    </xf>
    <xf numFmtId="0" fontId="8" fillId="3" borderId="18" xfId="0" applyFont="1" applyFill="1" applyBorder="1" applyAlignment="1">
      <alignment horizontal="center" vertical="center" textRotation="90"/>
    </xf>
    <xf numFmtId="0" fontId="1" fillId="0" borderId="0" xfId="0" applyFont="1" applyAlignment="1">
      <alignment horizontal="center"/>
    </xf>
    <xf numFmtId="0" fontId="0" fillId="2" borderId="26" xfId="0" applyFill="1" applyBorder="1" applyAlignment="1">
      <alignment horizontal="center"/>
    </xf>
    <xf numFmtId="0" fontId="0" fillId="3" borderId="5" xfId="0" applyFill="1" applyBorder="1"/>
    <xf numFmtId="0" fontId="0" fillId="3" borderId="7" xfId="0" applyFill="1" applyBorder="1"/>
    <xf numFmtId="0" fontId="0" fillId="3" borderId="18" xfId="0" applyFill="1" applyBorder="1"/>
    <xf numFmtId="0" fontId="0" fillId="3" borderId="10" xfId="0" applyFill="1" applyBorder="1"/>
    <xf numFmtId="2" fontId="1" fillId="4" borderId="9" xfId="0" applyNumberFormat="1" applyFont="1" applyFill="1" applyBorder="1" applyAlignment="1">
      <alignment horizontal="center" vertical="center"/>
    </xf>
    <xf numFmtId="0" fontId="4" fillId="3" borderId="0" xfId="0" applyFont="1" applyFill="1"/>
    <xf numFmtId="0" fontId="1" fillId="6" borderId="1" xfId="0" applyFont="1" applyFill="1" applyBorder="1" applyAlignment="1">
      <alignment horizontal="center" wrapText="1"/>
    </xf>
    <xf numFmtId="2" fontId="1" fillId="6" borderId="1" xfId="0" applyNumberFormat="1" applyFont="1" applyFill="1" applyBorder="1" applyAlignment="1">
      <alignment horizontal="left" wrapText="1"/>
    </xf>
    <xf numFmtId="0" fontId="1" fillId="6" borderId="25" xfId="0" applyFont="1" applyFill="1" applyBorder="1"/>
    <xf numFmtId="0" fontId="0" fillId="6" borderId="1" xfId="0" applyFill="1" applyBorder="1" applyAlignment="1">
      <alignment horizontal="center" wrapText="1"/>
    </xf>
    <xf numFmtId="0" fontId="0" fillId="6" borderId="25" xfId="0" applyFill="1" applyBorder="1"/>
    <xf numFmtId="0" fontId="0" fillId="6" borderId="26" xfId="0" applyFill="1" applyBorder="1"/>
    <xf numFmtId="0" fontId="1" fillId="6" borderId="1" xfId="0" applyFont="1" applyFill="1" applyBorder="1" applyAlignment="1">
      <alignment horizontal="center"/>
    </xf>
    <xf numFmtId="0" fontId="1" fillId="3" borderId="0" xfId="0" applyFont="1" applyFill="1"/>
    <xf numFmtId="2" fontId="1" fillId="3" borderId="0" xfId="0" applyNumberFormat="1" applyFont="1" applyFill="1" applyAlignment="1">
      <alignment horizontal="left" wrapText="1"/>
    </xf>
    <xf numFmtId="0" fontId="0" fillId="3" borderId="0" xfId="0" applyFill="1" applyAlignment="1">
      <alignment horizontal="center" wrapText="1"/>
    </xf>
    <xf numFmtId="0" fontId="0" fillId="0" borderId="4" xfId="0" applyBorder="1" applyAlignment="1">
      <alignment horizontal="center"/>
    </xf>
    <xf numFmtId="0" fontId="5" fillId="6" borderId="1" xfId="0" applyFont="1" applyFill="1" applyBorder="1" applyAlignment="1">
      <alignment vertical="center" wrapText="1"/>
    </xf>
    <xf numFmtId="0" fontId="24" fillId="6" borderId="1" xfId="0" applyFont="1" applyFill="1" applyBorder="1" applyAlignment="1">
      <alignment vertical="center" wrapText="1"/>
    </xf>
    <xf numFmtId="0" fontId="0" fillId="2" borderId="28" xfId="0" applyFill="1" applyBorder="1" applyAlignment="1">
      <alignment horizontal="center" vertical="center"/>
    </xf>
    <xf numFmtId="0" fontId="0" fillId="2" borderId="0" xfId="0" applyFill="1"/>
    <xf numFmtId="0" fontId="0" fillId="4" borderId="0" xfId="0" applyFill="1"/>
    <xf numFmtId="0" fontId="10" fillId="0" borderId="0" xfId="0" applyFont="1" applyAlignment="1">
      <alignment horizontal="left"/>
    </xf>
    <xf numFmtId="0" fontId="0" fillId="0" borderId="9" xfId="0" applyBorder="1"/>
    <xf numFmtId="0" fontId="0" fillId="0" borderId="13" xfId="0" applyBorder="1"/>
    <xf numFmtId="2" fontId="13" fillId="4" borderId="30" xfId="0" applyNumberFormat="1" applyFont="1" applyFill="1" applyBorder="1" applyAlignment="1">
      <alignment horizontal="center"/>
    </xf>
    <xf numFmtId="0" fontId="0" fillId="2" borderId="8" xfId="0" applyFill="1" applyBorder="1"/>
    <xf numFmtId="0" fontId="0" fillId="2" borderId="1" xfId="0" applyFill="1" applyBorder="1"/>
    <xf numFmtId="0" fontId="0" fillId="2" borderId="40" xfId="0" applyFill="1" applyBorder="1"/>
    <xf numFmtId="0" fontId="0" fillId="2" borderId="14" xfId="0" applyFill="1" applyBorder="1"/>
    <xf numFmtId="0" fontId="0" fillId="4" borderId="1" xfId="0" applyFill="1" applyBorder="1"/>
    <xf numFmtId="0" fontId="0" fillId="4" borderId="14" xfId="0" applyFill="1" applyBorder="1"/>
    <xf numFmtId="164" fontId="0" fillId="4" borderId="1" xfId="0" applyNumberFormat="1" applyFill="1" applyBorder="1" applyAlignment="1">
      <alignment horizontal="center" vertical="center"/>
    </xf>
    <xf numFmtId="164" fontId="1" fillId="4" borderId="30" xfId="0" applyNumberFormat="1" applyFont="1" applyFill="1" applyBorder="1" applyAlignment="1">
      <alignment horizontal="center"/>
    </xf>
    <xf numFmtId="164" fontId="0" fillId="4" borderId="14" xfId="0" applyNumberFormat="1" applyFill="1" applyBorder="1" applyAlignment="1">
      <alignment horizontal="center" vertical="center"/>
    </xf>
    <xf numFmtId="0" fontId="1" fillId="6" borderId="2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wrapText="1"/>
    </xf>
    <xf numFmtId="2" fontId="1" fillId="4" borderId="1" xfId="0" applyNumberFormat="1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/>
    </xf>
    <xf numFmtId="0" fontId="4" fillId="2" borderId="0" xfId="0" applyFont="1" applyFill="1"/>
    <xf numFmtId="2" fontId="1" fillId="6" borderId="15" xfId="0" applyNumberFormat="1" applyFont="1" applyFill="1" applyBorder="1" applyAlignment="1">
      <alignment horizontal="center"/>
    </xf>
    <xf numFmtId="164" fontId="0" fillId="4" borderId="15" xfId="0" applyNumberFormat="1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0" borderId="46" xfId="0" applyBorder="1"/>
    <xf numFmtId="2" fontId="0" fillId="6" borderId="46" xfId="0" applyNumberFormat="1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3" borderId="48" xfId="0" applyFill="1" applyBorder="1" applyAlignment="1">
      <alignment horizontal="left"/>
    </xf>
    <xf numFmtId="0" fontId="0" fillId="3" borderId="49" xfId="0" applyFill="1" applyBorder="1" applyAlignment="1" applyProtection="1">
      <alignment horizontal="center"/>
      <protection locked="0"/>
    </xf>
    <xf numFmtId="2" fontId="0" fillId="4" borderId="13" xfId="0" applyNumberFormat="1" applyFill="1" applyBorder="1" applyAlignment="1">
      <alignment horizontal="center"/>
    </xf>
    <xf numFmtId="0" fontId="1" fillId="6" borderId="31" xfId="0" applyFont="1" applyFill="1" applyBorder="1" applyAlignment="1">
      <alignment horizontal="center" wrapText="1"/>
    </xf>
    <xf numFmtId="0" fontId="1" fillId="6" borderId="33" xfId="0" applyFont="1" applyFill="1" applyBorder="1" applyAlignment="1">
      <alignment horizontal="center" wrapText="1"/>
    </xf>
    <xf numFmtId="0" fontId="0" fillId="6" borderId="1" xfId="0" applyFill="1" applyBorder="1" applyAlignment="1">
      <alignment horizontal="center" vertical="center" wrapText="1"/>
    </xf>
    <xf numFmtId="0" fontId="0" fillId="6" borderId="1" xfId="0" applyFill="1" applyBorder="1"/>
    <xf numFmtId="0" fontId="0" fillId="6" borderId="9" xfId="0" applyFill="1" applyBorder="1"/>
    <xf numFmtId="0" fontId="0" fillId="6" borderId="14" xfId="0" applyFill="1" applyBorder="1"/>
    <xf numFmtId="0" fontId="0" fillId="6" borderId="13" xfId="0" applyFill="1" applyBorder="1"/>
    <xf numFmtId="2" fontId="0" fillId="6" borderId="1" xfId="0" applyNumberFormat="1" applyFill="1" applyBorder="1" applyAlignment="1">
      <alignment horizontal="center"/>
    </xf>
    <xf numFmtId="2" fontId="27" fillId="0" borderId="46" xfId="0" applyNumberFormat="1" applyFont="1" applyBorder="1" applyAlignment="1">
      <alignment horizontal="left" vertical="center" wrapText="1"/>
    </xf>
    <xf numFmtId="0" fontId="28" fillId="0" borderId="5" xfId="0" applyFont="1" applyBorder="1" applyAlignment="1">
      <alignment horizontal="center" vertical="center"/>
    </xf>
    <xf numFmtId="0" fontId="28" fillId="0" borderId="31" xfId="0" applyFont="1" applyBorder="1" applyAlignment="1">
      <alignment horizontal="center" vertical="center" wrapText="1"/>
    </xf>
    <xf numFmtId="0" fontId="28" fillId="0" borderId="32" xfId="0" applyFont="1" applyBorder="1" applyAlignment="1">
      <alignment horizontal="center" vertical="center" wrapText="1"/>
    </xf>
    <xf numFmtId="0" fontId="28" fillId="0" borderId="33" xfId="0" applyFont="1" applyBorder="1" applyAlignment="1">
      <alignment horizontal="center" vertical="center"/>
    </xf>
    <xf numFmtId="2" fontId="0" fillId="2" borderId="2" xfId="0" applyNumberFormat="1" applyFill="1" applyBorder="1" applyAlignment="1">
      <alignment horizontal="center" vertical="center"/>
    </xf>
    <xf numFmtId="164" fontId="0" fillId="4" borderId="26" xfId="0" applyNumberFormat="1" applyFill="1" applyBorder="1" applyAlignment="1">
      <alignment horizontal="center" vertical="center"/>
    </xf>
    <xf numFmtId="0" fontId="28" fillId="0" borderId="51" xfId="0" applyFont="1" applyBorder="1" applyAlignment="1">
      <alignment horizontal="center" vertical="center" wrapText="1"/>
    </xf>
    <xf numFmtId="0" fontId="24" fillId="6" borderId="1" xfId="0" applyFont="1" applyFill="1" applyBorder="1" applyAlignment="1">
      <alignment horizontal="left" vertical="center" wrapText="1"/>
    </xf>
    <xf numFmtId="0" fontId="1" fillId="6" borderId="17" xfId="0" applyFont="1" applyFill="1" applyBorder="1" applyAlignment="1">
      <alignment horizontal="center"/>
    </xf>
    <xf numFmtId="0" fontId="0" fillId="3" borderId="26" xfId="0" applyFill="1" applyBorder="1" applyAlignment="1">
      <alignment horizontal="center"/>
    </xf>
    <xf numFmtId="2" fontId="0" fillId="6" borderId="1" xfId="0" applyNumberFormat="1" applyFill="1" applyBorder="1" applyAlignment="1">
      <alignment horizontal="center" wrapText="1"/>
    </xf>
    <xf numFmtId="0" fontId="0" fillId="3" borderId="1" xfId="0" applyFill="1" applyBorder="1" applyAlignment="1">
      <alignment horizontal="center" vertical="center"/>
    </xf>
    <xf numFmtId="0" fontId="1" fillId="6" borderId="44" xfId="0" applyFont="1" applyFill="1" applyBorder="1" applyAlignment="1">
      <alignment horizontal="center" wrapText="1"/>
    </xf>
    <xf numFmtId="0" fontId="0" fillId="0" borderId="19" xfId="0" applyBorder="1"/>
    <xf numFmtId="2" fontId="0" fillId="4" borderId="9" xfId="0" applyNumberFormat="1" applyFill="1" applyBorder="1" applyAlignment="1">
      <alignment horizontal="center" vertical="center"/>
    </xf>
    <xf numFmtId="0" fontId="1" fillId="3" borderId="49" xfId="0" applyFont="1" applyFill="1" applyBorder="1" applyAlignment="1">
      <alignment horizontal="left"/>
    </xf>
    <xf numFmtId="0" fontId="1" fillId="3" borderId="21" xfId="0" applyFont="1" applyFill="1" applyBorder="1" applyAlignment="1">
      <alignment horizontal="left"/>
    </xf>
    <xf numFmtId="2" fontId="1" fillId="4" borderId="13" xfId="0" applyNumberFormat="1" applyFont="1" applyFill="1" applyBorder="1" applyAlignment="1">
      <alignment horizontal="center" vertical="center"/>
    </xf>
    <xf numFmtId="164" fontId="1" fillId="4" borderId="9" xfId="0" applyNumberFormat="1" applyFont="1" applyFill="1" applyBorder="1" applyAlignment="1">
      <alignment horizontal="center"/>
    </xf>
    <xf numFmtId="0" fontId="0" fillId="6" borderId="2" xfId="0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/>
    </xf>
    <xf numFmtId="0" fontId="9" fillId="0" borderId="0" xfId="0" applyFont="1" applyAlignment="1">
      <alignment wrapText="1"/>
    </xf>
    <xf numFmtId="2" fontId="1" fillId="0" borderId="0" xfId="0" applyNumberFormat="1" applyFont="1" applyAlignment="1">
      <alignment horizontal="center"/>
    </xf>
    <xf numFmtId="0" fontId="1" fillId="0" borderId="4" xfId="0" applyFont="1" applyBorder="1" applyAlignment="1">
      <alignment horizontal="center"/>
    </xf>
    <xf numFmtId="0" fontId="0" fillId="3" borderId="4" xfId="0" applyFill="1" applyBorder="1" applyAlignment="1">
      <alignment horizontal="center" wrapText="1"/>
    </xf>
    <xf numFmtId="0" fontId="8" fillId="3" borderId="0" xfId="0" applyFont="1" applyFill="1" applyAlignment="1">
      <alignment vertical="center" textRotation="90"/>
    </xf>
    <xf numFmtId="0" fontId="30" fillId="6" borderId="1" xfId="0" applyFont="1" applyFill="1" applyBorder="1" applyAlignment="1">
      <alignment wrapText="1"/>
    </xf>
    <xf numFmtId="0" fontId="30" fillId="6" borderId="1" xfId="0" applyFont="1" applyFill="1" applyBorder="1" applyAlignment="1">
      <alignment vertical="center" wrapText="1"/>
    </xf>
    <xf numFmtId="0" fontId="1" fillId="6" borderId="14" xfId="0" applyFont="1" applyFill="1" applyBorder="1" applyAlignment="1">
      <alignment wrapText="1"/>
    </xf>
    <xf numFmtId="0" fontId="17" fillId="3" borderId="10" xfId="0" applyFont="1" applyFill="1" applyBorder="1" applyAlignment="1">
      <alignment horizontal="center" vertical="center" textRotation="90"/>
    </xf>
    <xf numFmtId="0" fontId="0" fillId="3" borderId="52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11" xfId="0" applyFill="1" applyBorder="1" applyAlignment="1">
      <alignment horizontal="left"/>
    </xf>
    <xf numFmtId="2" fontId="0" fillId="0" borderId="12" xfId="0" applyNumberFormat="1" applyBorder="1" applyAlignment="1">
      <alignment horizontal="center"/>
    </xf>
    <xf numFmtId="0" fontId="1" fillId="6" borderId="25" xfId="0" applyFont="1" applyFill="1" applyBorder="1" applyAlignment="1">
      <alignment horizontal="center"/>
    </xf>
    <xf numFmtId="166" fontId="0" fillId="6" borderId="1" xfId="0" applyNumberFormat="1" applyFill="1" applyBorder="1" applyAlignment="1">
      <alignment horizontal="center" wrapText="1"/>
    </xf>
    <xf numFmtId="1" fontId="0" fillId="6" borderId="1" xfId="0" applyNumberFormat="1" applyFill="1" applyBorder="1" applyAlignment="1">
      <alignment horizontal="center" wrapText="1"/>
    </xf>
    <xf numFmtId="0" fontId="0" fillId="2" borderId="9" xfId="0" applyFill="1" applyBorder="1" applyAlignment="1" applyProtection="1">
      <alignment horizontal="center"/>
      <protection locked="0"/>
    </xf>
    <xf numFmtId="0" fontId="0" fillId="6" borderId="1" xfId="0" applyFill="1" applyBorder="1" applyAlignment="1">
      <alignment horizontal="center"/>
    </xf>
    <xf numFmtId="0" fontId="1" fillId="6" borderId="2" xfId="0" applyFont="1" applyFill="1" applyBorder="1"/>
    <xf numFmtId="0" fontId="1" fillId="6" borderId="3" xfId="0" applyFont="1" applyFill="1" applyBorder="1"/>
    <xf numFmtId="0" fontId="0" fillId="6" borderId="3" xfId="0" applyFill="1" applyBorder="1"/>
    <xf numFmtId="0" fontId="0" fillId="6" borderId="4" xfId="0" applyFill="1" applyBorder="1"/>
    <xf numFmtId="0" fontId="0" fillId="0" borderId="0" xfId="0"/>
    <xf numFmtId="165" fontId="18" fillId="4" borderId="33" xfId="0" applyNumberFormat="1" applyFont="1" applyFill="1" applyBorder="1" applyAlignment="1">
      <alignment horizontal="center" vertical="center" wrapText="1"/>
    </xf>
    <xf numFmtId="165" fontId="18" fillId="4" borderId="34" xfId="0" applyNumberFormat="1" applyFont="1" applyFill="1" applyBorder="1" applyAlignment="1">
      <alignment horizontal="center" vertical="center" wrapText="1"/>
    </xf>
    <xf numFmtId="165" fontId="18" fillId="4" borderId="43" xfId="0" applyNumberFormat="1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44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29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2" xfId="0" applyFont="1" applyFill="1" applyBorder="1" applyAlignment="1">
      <alignment horizontal="center" vertical="center" wrapText="1"/>
    </xf>
    <xf numFmtId="164" fontId="1" fillId="4" borderId="23" xfId="0" applyNumberFormat="1" applyFont="1" applyFill="1" applyBorder="1" applyAlignment="1">
      <alignment horizontal="center" vertical="center"/>
    </xf>
    <xf numFmtId="164" fontId="1" fillId="4" borderId="43" xfId="0" applyNumberFormat="1" applyFont="1" applyFill="1" applyBorder="1" applyAlignment="1">
      <alignment horizontal="center" vertical="center"/>
    </xf>
    <xf numFmtId="0" fontId="0" fillId="3" borderId="28" xfId="0" applyFill="1" applyBorder="1" applyAlignment="1">
      <alignment horizontal="left"/>
    </xf>
    <xf numFmtId="0" fontId="0" fillId="3" borderId="4" xfId="0" applyFill="1" applyBorder="1" applyAlignment="1">
      <alignment horizontal="left"/>
    </xf>
    <xf numFmtId="0" fontId="1" fillId="6" borderId="27" xfId="0" applyFont="1" applyFill="1" applyBorder="1" applyAlignment="1">
      <alignment horizontal="center" vertical="center"/>
    </xf>
    <xf numFmtId="0" fontId="1" fillId="6" borderId="20" xfId="0" applyFont="1" applyFill="1" applyBorder="1" applyAlignment="1">
      <alignment horizontal="center" vertical="center"/>
    </xf>
    <xf numFmtId="0" fontId="1" fillId="6" borderId="10" xfId="0" applyFont="1" applyFill="1" applyBorder="1" applyAlignment="1">
      <alignment horizontal="center" vertical="center"/>
    </xf>
    <xf numFmtId="0" fontId="1" fillId="6" borderId="42" xfId="0" applyFont="1" applyFill="1" applyBorder="1" applyAlignment="1">
      <alignment horizontal="center" vertical="center"/>
    </xf>
    <xf numFmtId="0" fontId="0" fillId="6" borderId="41" xfId="0" applyFill="1" applyBorder="1" applyAlignment="1">
      <alignment horizontal="center"/>
    </xf>
    <xf numFmtId="0" fontId="0" fillId="6" borderId="16" xfId="0" applyFill="1" applyBorder="1" applyAlignment="1">
      <alignment horizontal="center"/>
    </xf>
    <xf numFmtId="0" fontId="0" fillId="6" borderId="28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3" borderId="0" xfId="0" applyFont="1" applyFill="1"/>
    <xf numFmtId="0" fontId="3" fillId="3" borderId="0" xfId="0" applyFont="1" applyFill="1"/>
    <xf numFmtId="0" fontId="4" fillId="4" borderId="0" xfId="0" applyFont="1" applyFill="1" applyAlignment="1">
      <alignment horizontal="center"/>
    </xf>
    <xf numFmtId="0" fontId="4" fillId="2" borderId="0" xfId="0" applyFont="1" applyFill="1"/>
    <xf numFmtId="0" fontId="0" fillId="3" borderId="8" xfId="0" applyFill="1" applyBorder="1" applyAlignment="1">
      <alignment horizontal="left"/>
    </xf>
    <xf numFmtId="0" fontId="0" fillId="3" borderId="1" xfId="0" applyFill="1" applyBorder="1" applyAlignment="1">
      <alignment horizontal="left"/>
    </xf>
    <xf numFmtId="0" fontId="19" fillId="3" borderId="2" xfId="0" applyFont="1" applyFill="1" applyBorder="1" applyAlignment="1">
      <alignment horizontal="center" vertical="center" wrapText="1"/>
    </xf>
    <xf numFmtId="0" fontId="19" fillId="3" borderId="3" xfId="0" applyFont="1" applyFill="1" applyBorder="1" applyAlignment="1">
      <alignment horizontal="center" vertical="center" wrapText="1"/>
    </xf>
    <xf numFmtId="0" fontId="19" fillId="3" borderId="4" xfId="0" applyFont="1" applyFill="1" applyBorder="1" applyAlignment="1">
      <alignment horizontal="center" vertical="center" wrapText="1"/>
    </xf>
    <xf numFmtId="0" fontId="1" fillId="6" borderId="50" xfId="0" applyFont="1" applyFill="1" applyBorder="1" applyAlignment="1">
      <alignment horizontal="center" wrapText="1"/>
    </xf>
    <xf numFmtId="0" fontId="1" fillId="6" borderId="24" xfId="0" applyFont="1" applyFill="1" applyBorder="1" applyAlignment="1">
      <alignment horizontal="center" wrapText="1"/>
    </xf>
    <xf numFmtId="0" fontId="1" fillId="6" borderId="22" xfId="0" applyFont="1" applyFill="1" applyBorder="1" applyAlignment="1">
      <alignment horizontal="center" wrapText="1"/>
    </xf>
    <xf numFmtId="0" fontId="1" fillId="6" borderId="35" xfId="0" applyFont="1" applyFill="1" applyBorder="1" applyAlignment="1">
      <alignment horizontal="center"/>
    </xf>
    <xf numFmtId="0" fontId="1" fillId="6" borderId="47" xfId="0" applyFont="1" applyFill="1" applyBorder="1" applyAlignment="1">
      <alignment horizontal="center"/>
    </xf>
    <xf numFmtId="0" fontId="1" fillId="6" borderId="45" xfId="0" applyFont="1" applyFill="1" applyBorder="1" applyAlignment="1">
      <alignment horizontal="center"/>
    </xf>
    <xf numFmtId="0" fontId="22" fillId="3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6" borderId="36" xfId="0" applyFont="1" applyFill="1" applyBorder="1" applyAlignment="1">
      <alignment horizontal="center"/>
    </xf>
    <xf numFmtId="0" fontId="1" fillId="6" borderId="16" xfId="0" applyFont="1" applyFill="1" applyBorder="1" applyAlignment="1">
      <alignment horizontal="center"/>
    </xf>
    <xf numFmtId="0" fontId="16" fillId="3" borderId="37" xfId="0" applyFont="1" applyFill="1" applyBorder="1" applyAlignment="1">
      <alignment horizontal="center" vertical="center" textRotation="90"/>
    </xf>
    <xf numFmtId="0" fontId="16" fillId="3" borderId="38" xfId="0" applyFont="1" applyFill="1" applyBorder="1" applyAlignment="1">
      <alignment horizontal="center" vertical="center" textRotation="90"/>
    </xf>
    <xf numFmtId="0" fontId="16" fillId="3" borderId="39" xfId="0" applyFont="1" applyFill="1" applyBorder="1" applyAlignment="1">
      <alignment horizontal="center" vertical="center" textRotation="90"/>
    </xf>
    <xf numFmtId="0" fontId="16" fillId="3" borderId="5" xfId="0" applyFont="1" applyFill="1" applyBorder="1" applyAlignment="1">
      <alignment horizontal="center" vertical="center" textRotation="90"/>
    </xf>
    <xf numFmtId="0" fontId="16" fillId="3" borderId="18" xfId="0" applyFont="1" applyFill="1" applyBorder="1" applyAlignment="1">
      <alignment horizontal="center" vertical="center" textRotation="90"/>
    </xf>
    <xf numFmtId="0" fontId="16" fillId="3" borderId="10" xfId="0" applyFont="1" applyFill="1" applyBorder="1" applyAlignment="1">
      <alignment horizontal="center" vertical="center" textRotation="90"/>
    </xf>
    <xf numFmtId="0" fontId="1" fillId="3" borderId="4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left"/>
    </xf>
    <xf numFmtId="0" fontId="1" fillId="6" borderId="3" xfId="0" applyFont="1" applyFill="1" applyBorder="1" applyAlignment="1">
      <alignment horizontal="center"/>
    </xf>
    <xf numFmtId="0" fontId="8" fillId="3" borderId="5" xfId="0" applyFont="1" applyFill="1" applyBorder="1" applyAlignment="1">
      <alignment horizontal="center" vertical="center" textRotation="90"/>
    </xf>
    <xf numFmtId="0" fontId="8" fillId="3" borderId="7" xfId="0" applyFont="1" applyFill="1" applyBorder="1" applyAlignment="1">
      <alignment horizontal="center" vertical="center" textRotation="90"/>
    </xf>
    <xf numFmtId="0" fontId="8" fillId="3" borderId="18" xfId="0" applyFont="1" applyFill="1" applyBorder="1" applyAlignment="1">
      <alignment horizontal="center" vertical="center" textRotation="90"/>
    </xf>
    <xf numFmtId="0" fontId="8" fillId="3" borderId="19" xfId="0" applyFont="1" applyFill="1" applyBorder="1" applyAlignment="1">
      <alignment horizontal="center" vertical="center" textRotation="90"/>
    </xf>
    <xf numFmtId="0" fontId="8" fillId="3" borderId="10" xfId="0" applyFont="1" applyFill="1" applyBorder="1" applyAlignment="1">
      <alignment horizontal="center" vertical="center" textRotation="90"/>
    </xf>
    <xf numFmtId="0" fontId="8" fillId="3" borderId="12" xfId="0" applyFont="1" applyFill="1" applyBorder="1" applyAlignment="1">
      <alignment horizontal="center" vertical="center" textRotation="90"/>
    </xf>
    <xf numFmtId="0" fontId="1" fillId="5" borderId="28" xfId="0" applyFont="1" applyFill="1" applyBorder="1" applyAlignment="1">
      <alignment horizontal="center" wrapText="1"/>
    </xf>
    <xf numFmtId="0" fontId="1" fillId="5" borderId="4" xfId="0" applyFont="1" applyFill="1" applyBorder="1" applyAlignment="1">
      <alignment horizontal="center" wrapText="1"/>
    </xf>
    <xf numFmtId="0" fontId="0" fillId="3" borderId="3" xfId="0" applyFill="1" applyBorder="1" applyAlignment="1">
      <alignment horizontal="left"/>
    </xf>
    <xf numFmtId="0" fontId="1" fillId="6" borderId="2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0" fillId="3" borderId="0" xfId="0" applyFill="1"/>
    <xf numFmtId="0" fontId="1" fillId="6" borderId="2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left" vertical="center" wrapText="1"/>
    </xf>
    <xf numFmtId="0" fontId="0" fillId="6" borderId="3" xfId="0" applyFill="1" applyBorder="1" applyAlignment="1">
      <alignment horizontal="left" vertical="center" wrapText="1"/>
    </xf>
    <xf numFmtId="0" fontId="0" fillId="6" borderId="4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ork\Griffin\Power_Characterization\BF60x_Power_Estimation_Tool_Rev03_11-05-201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ORK\Post%20Silicon%20Validation\Griffin%20Validation\Power%20Estimation%20AppNote\SC58xx_Power_Estimation_Tool_Rev07-22-2015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analog-my.sharepoint.com/personal/tejaswi_chitneedi_analog_com/Documents/Documents/from_pte.xlsx" TargetMode="External"/><Relationship Id="rId1" Type="http://schemas.openxmlformats.org/officeDocument/2006/relationships/externalLinkPath" Target="https://analog-my.sharepoint.com/personal/tejaswi_chitneedi_analog_com/Documents/Documents/from_pte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nalog-my.sharepoint.com/Users/prajagop/AppData/Roaming/Microsoft/Excel/SC57x_Power_Estimation_Tool_Apps_Rev0%20(version%201).xlsb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ork\Griffin\Power_Characterization\SC58x_Power_Estimation_Too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wer Estimation"/>
      <sheetName val="DMA Data Rate"/>
      <sheetName val="Typical Static Current"/>
      <sheetName val="Maximum Static Current"/>
      <sheetName val="Dynamic Current"/>
      <sheetName val="Dynamic Scaling Factors"/>
      <sheetName val="ClockSpecs"/>
      <sheetName val="Supporting Tables"/>
    </sheetNames>
    <sheetDataSet>
      <sheetData sheetId="0" refreshError="1"/>
      <sheetData sheetId="1" refreshError="1"/>
      <sheetData sheetId="2" refreshError="1">
        <row r="5">
          <cell r="D5">
            <v>1.19</v>
          </cell>
          <cell r="E5">
            <v>1.2</v>
          </cell>
          <cell r="F5">
            <v>1.2250000000000001</v>
          </cell>
          <cell r="G5">
            <v>1.25</v>
          </cell>
          <cell r="H5">
            <v>1.2749999999999999</v>
          </cell>
          <cell r="I5">
            <v>1.3</v>
          </cell>
          <cell r="J5">
            <v>1.32</v>
          </cell>
        </row>
        <row r="6">
          <cell r="C6">
            <v>-40</v>
          </cell>
          <cell r="D6">
            <v>0.57850000000000001</v>
          </cell>
          <cell r="E6">
            <v>0.625</v>
          </cell>
          <cell r="F6">
            <v>0.71799999999999997</v>
          </cell>
          <cell r="G6">
            <v>0.86899999999999999</v>
          </cell>
          <cell r="H6">
            <v>0.95799999999999996</v>
          </cell>
          <cell r="I6">
            <v>1.104123</v>
          </cell>
          <cell r="J6">
            <v>1.1687000000000001</v>
          </cell>
        </row>
        <row r="7">
          <cell r="C7">
            <v>-20</v>
          </cell>
          <cell r="D7">
            <v>1.086417282127031</v>
          </cell>
          <cell r="E7">
            <v>1.1785376692489999</v>
          </cell>
          <cell r="F7">
            <v>1.3112318211875</v>
          </cell>
          <cell r="G7">
            <v>1.40981237433193</v>
          </cell>
          <cell r="H7">
            <v>1.5322134485255601</v>
          </cell>
          <cell r="I7">
            <v>1.6620782504731</v>
          </cell>
          <cell r="J7">
            <v>1.8166249003186501</v>
          </cell>
        </row>
        <row r="8">
          <cell r="C8">
            <v>0</v>
          </cell>
          <cell r="D8">
            <v>1.9619527326440176</v>
          </cell>
          <cell r="E8">
            <v>2.1451234447330001</v>
          </cell>
          <cell r="F8">
            <v>2.2819992345126998</v>
          </cell>
          <cell r="G8">
            <v>2.5182312345928999</v>
          </cell>
          <cell r="H8">
            <v>2.8148858612200001</v>
          </cell>
          <cell r="I8">
            <v>3.1821599865439998</v>
          </cell>
          <cell r="J8">
            <v>3.3787741934410001</v>
          </cell>
        </row>
        <row r="9">
          <cell r="C9">
            <v>25</v>
          </cell>
          <cell r="D9">
            <v>4.0609999999999999</v>
          </cell>
          <cell r="E9">
            <v>4.2309999999999999</v>
          </cell>
          <cell r="F9">
            <v>4.4540251107828652</v>
          </cell>
          <cell r="G9">
            <v>5.0999999999999996</v>
          </cell>
          <cell r="H9">
            <v>5.4390000000000001</v>
          </cell>
          <cell r="I9">
            <v>5.9210000000000003</v>
          </cell>
          <cell r="J9">
            <v>6.2785714285714285</v>
          </cell>
        </row>
        <row r="10">
          <cell r="C10">
            <v>40</v>
          </cell>
          <cell r="D10">
            <v>6.8981189069423934</v>
          </cell>
          <cell r="E10">
            <v>7.307237813884786</v>
          </cell>
          <cell r="F10">
            <v>7.384453471196454</v>
          </cell>
          <cell r="G10">
            <v>8.3731905465288037</v>
          </cell>
          <cell r="H10">
            <v>8.4880723781388472</v>
          </cell>
          <cell r="I10">
            <v>9.218</v>
          </cell>
          <cell r="J10">
            <v>9.7450643776824037</v>
          </cell>
        </row>
        <row r="11">
          <cell r="C11">
            <v>55</v>
          </cell>
          <cell r="D11">
            <v>10.888976366322009</v>
          </cell>
          <cell r="E11">
            <v>11.265952732644017</v>
          </cell>
          <cell r="F11">
            <v>11.761262924667651</v>
          </cell>
          <cell r="G11">
            <v>12.59745199409158</v>
          </cell>
          <cell r="H11">
            <v>13.360192023633676</v>
          </cell>
          <cell r="I11">
            <v>13.853618906942392</v>
          </cell>
          <cell r="J11">
            <v>14.459023354564756</v>
          </cell>
        </row>
        <row r="12">
          <cell r="C12">
            <v>70</v>
          </cell>
          <cell r="D12">
            <v>17.570607090103397</v>
          </cell>
          <cell r="E12">
            <v>18.040214180206796</v>
          </cell>
          <cell r="F12">
            <v>18.382976366322008</v>
          </cell>
          <cell r="G12">
            <v>19.754025110782866</v>
          </cell>
          <cell r="H12">
            <v>21.352954209748894</v>
          </cell>
          <cell r="I12">
            <v>21.961262924667651</v>
          </cell>
          <cell r="J12">
            <v>23.426076555023926</v>
          </cell>
        </row>
        <row r="13">
          <cell r="C13">
            <v>85</v>
          </cell>
          <cell r="D13">
            <v>26.528286558345641</v>
          </cell>
          <cell r="E13">
            <v>27.251477104874446</v>
          </cell>
          <cell r="F13">
            <v>28.812740029542095</v>
          </cell>
          <cell r="G13">
            <v>30.562333825701618</v>
          </cell>
          <cell r="H13">
            <v>32.46635893648449</v>
          </cell>
          <cell r="I13">
            <v>33.607644017725256</v>
          </cell>
          <cell r="J13">
            <v>35.896578947368425</v>
          </cell>
        </row>
        <row r="14">
          <cell r="C14">
            <v>100</v>
          </cell>
          <cell r="D14">
            <v>39.849870753323486</v>
          </cell>
          <cell r="E14">
            <v>40.877215657311666</v>
          </cell>
          <cell r="F14">
            <v>43.009121122599701</v>
          </cell>
          <cell r="G14">
            <v>46.110999999999997</v>
          </cell>
          <cell r="H14">
            <v>48.100999999999999</v>
          </cell>
          <cell r="I14">
            <v>50.354025110782864</v>
          </cell>
          <cell r="J14">
            <v>53.311538461538461</v>
          </cell>
        </row>
        <row r="15">
          <cell r="C15">
            <v>105</v>
          </cell>
          <cell r="D15">
            <v>45.697370014771053</v>
          </cell>
          <cell r="E15">
            <v>46.6627400295421</v>
          </cell>
          <cell r="F15">
            <v>49.099741506646971</v>
          </cell>
          <cell r="G15">
            <v>52.921999999999997</v>
          </cell>
          <cell r="H15">
            <v>55.226144756277691</v>
          </cell>
          <cell r="I15">
            <v>58.233788774002953</v>
          </cell>
          <cell r="J15">
            <v>61.792897727272724</v>
          </cell>
        </row>
        <row r="16">
          <cell r="C16">
            <v>115</v>
          </cell>
          <cell r="D16">
            <v>60.231037666174295</v>
          </cell>
          <cell r="E16">
            <v>61.619977843426881</v>
          </cell>
          <cell r="F16">
            <v>64.78016986706055</v>
          </cell>
          <cell r="G16">
            <v>68.168242245199409</v>
          </cell>
          <cell r="H16">
            <v>71.782311669128504</v>
          </cell>
          <cell r="I16">
            <v>75.475480059084191</v>
          </cell>
          <cell r="J16">
            <v>79.747647058823532</v>
          </cell>
        </row>
        <row r="17">
          <cell r="C17">
            <v>125</v>
          </cell>
          <cell r="D17">
            <v>78.139420236336775</v>
          </cell>
          <cell r="E17">
            <v>79.737407680945338</v>
          </cell>
          <cell r="F17">
            <v>84.229098966026584</v>
          </cell>
          <cell r="G17">
            <v>87.617171344165442</v>
          </cell>
          <cell r="H17">
            <v>92.982717872968976</v>
          </cell>
          <cell r="I17">
            <v>97.854837518463796</v>
          </cell>
          <cell r="J17">
            <v>101.99406249999998</v>
          </cell>
        </row>
      </sheetData>
      <sheetData sheetId="3" refreshError="1">
        <row r="5">
          <cell r="D5">
            <v>1.19</v>
          </cell>
          <cell r="E5">
            <v>1.2</v>
          </cell>
          <cell r="F5">
            <v>1.2250000000000001</v>
          </cell>
          <cell r="G5">
            <v>1.25</v>
          </cell>
          <cell r="H5">
            <v>1.2749999999999999</v>
          </cell>
          <cell r="I5">
            <v>1.3</v>
          </cell>
          <cell r="J5">
            <v>1.32</v>
          </cell>
        </row>
        <row r="6">
          <cell r="C6">
            <v>-40</v>
          </cell>
          <cell r="D6">
            <v>1.6980000000000002</v>
          </cell>
          <cell r="E6">
            <v>1.8</v>
          </cell>
          <cell r="F6">
            <v>2.2000000000000002</v>
          </cell>
          <cell r="G6">
            <v>2.5</v>
          </cell>
          <cell r="H6">
            <v>2.7</v>
          </cell>
          <cell r="I6">
            <v>3.1</v>
          </cell>
          <cell r="J6">
            <v>3.4</v>
          </cell>
        </row>
        <row r="7">
          <cell r="C7">
            <v>-20</v>
          </cell>
          <cell r="D7">
            <v>4.0110000000000001</v>
          </cell>
          <cell r="E7">
            <v>4.2</v>
          </cell>
          <cell r="F7">
            <v>4.5999999999999996</v>
          </cell>
          <cell r="G7">
            <v>5.0999999999999996</v>
          </cell>
          <cell r="H7">
            <v>5.6</v>
          </cell>
          <cell r="I7">
            <v>6.2</v>
          </cell>
          <cell r="J7">
            <v>6.8</v>
          </cell>
        </row>
        <row r="8">
          <cell r="C8">
            <v>0</v>
          </cell>
          <cell r="D8">
            <v>8.4</v>
          </cell>
          <cell r="E8">
            <v>9</v>
          </cell>
          <cell r="F8">
            <v>9.6</v>
          </cell>
          <cell r="G8">
            <v>10.6</v>
          </cell>
          <cell r="H8">
            <v>11.5</v>
          </cell>
          <cell r="I8">
            <v>12.5</v>
          </cell>
          <cell r="J8">
            <v>13.4</v>
          </cell>
        </row>
        <row r="9">
          <cell r="C9">
            <v>25</v>
          </cell>
          <cell r="D9">
            <v>19</v>
          </cell>
          <cell r="E9">
            <v>19.8</v>
          </cell>
          <cell r="F9">
            <v>21.5</v>
          </cell>
          <cell r="G9">
            <v>23.2</v>
          </cell>
          <cell r="H9">
            <v>25.3</v>
          </cell>
          <cell r="I9">
            <v>27.2</v>
          </cell>
          <cell r="J9">
            <v>29</v>
          </cell>
        </row>
        <row r="10">
          <cell r="C10">
            <v>40</v>
          </cell>
          <cell r="D10">
            <v>29.9</v>
          </cell>
          <cell r="E10">
            <v>31.7</v>
          </cell>
          <cell r="F10">
            <v>34.4</v>
          </cell>
          <cell r="G10">
            <v>36.799999999999997</v>
          </cell>
          <cell r="H10">
            <v>40</v>
          </cell>
          <cell r="I10">
            <v>42.8</v>
          </cell>
          <cell r="J10">
            <v>45.4</v>
          </cell>
        </row>
        <row r="11">
          <cell r="C11">
            <v>55</v>
          </cell>
          <cell r="D11">
            <v>46.6</v>
          </cell>
          <cell r="E11">
            <v>48.9</v>
          </cell>
          <cell r="F11">
            <v>52.4</v>
          </cell>
          <cell r="G11">
            <v>56.4</v>
          </cell>
          <cell r="H11">
            <v>60.6</v>
          </cell>
          <cell r="I11">
            <v>65</v>
          </cell>
          <cell r="J11">
            <v>68.099999999999994</v>
          </cell>
        </row>
        <row r="12">
          <cell r="C12">
            <v>70</v>
          </cell>
          <cell r="D12">
            <v>66.400000000000006</v>
          </cell>
          <cell r="E12">
            <v>70.400000000000006</v>
          </cell>
          <cell r="F12">
            <v>75.5</v>
          </cell>
          <cell r="G12">
            <v>80.599999999999994</v>
          </cell>
          <cell r="H12">
            <v>86.2</v>
          </cell>
          <cell r="I12">
            <v>92.4</v>
          </cell>
          <cell r="J12">
            <v>97.9</v>
          </cell>
        </row>
        <row r="13">
          <cell r="C13">
            <v>85</v>
          </cell>
          <cell r="D13">
            <v>93.9</v>
          </cell>
          <cell r="E13">
            <v>99.3</v>
          </cell>
          <cell r="F13">
            <v>105.9</v>
          </cell>
          <cell r="G13">
            <v>113</v>
          </cell>
          <cell r="H13">
            <v>120.7</v>
          </cell>
          <cell r="I13">
            <v>128.9</v>
          </cell>
          <cell r="J13">
            <v>136.4</v>
          </cell>
        </row>
        <row r="14">
          <cell r="C14">
            <v>100</v>
          </cell>
          <cell r="D14">
            <v>137.19999999999999</v>
          </cell>
          <cell r="E14">
            <v>144.19999999999999</v>
          </cell>
          <cell r="F14">
            <v>153.6</v>
          </cell>
          <cell r="G14">
            <v>163.4</v>
          </cell>
          <cell r="H14">
            <v>173.9</v>
          </cell>
          <cell r="I14">
            <v>185.1</v>
          </cell>
          <cell r="J14">
            <v>194.1</v>
          </cell>
        </row>
        <row r="15">
          <cell r="C15">
            <v>105</v>
          </cell>
          <cell r="D15">
            <v>153.80000000000001</v>
          </cell>
          <cell r="E15">
            <v>162.4</v>
          </cell>
          <cell r="F15">
            <v>172.5</v>
          </cell>
          <cell r="G15">
            <v>183.4</v>
          </cell>
          <cell r="H15">
            <v>195.2</v>
          </cell>
          <cell r="I15">
            <v>207.5</v>
          </cell>
          <cell r="J15">
            <v>217.5</v>
          </cell>
        </row>
        <row r="16">
          <cell r="C16">
            <v>115</v>
          </cell>
          <cell r="D16">
            <v>193.3</v>
          </cell>
          <cell r="E16">
            <v>203.7</v>
          </cell>
          <cell r="F16">
            <v>216.2</v>
          </cell>
          <cell r="G16">
            <v>229.5</v>
          </cell>
          <cell r="H16">
            <v>243.9</v>
          </cell>
          <cell r="I16">
            <v>258.60000000000002</v>
          </cell>
          <cell r="J16">
            <v>271.10000000000002</v>
          </cell>
        </row>
        <row r="17">
          <cell r="C17">
            <v>125</v>
          </cell>
          <cell r="D17">
            <v>236.1</v>
          </cell>
          <cell r="E17">
            <v>247.2</v>
          </cell>
          <cell r="F17">
            <v>261.8</v>
          </cell>
          <cell r="G17">
            <v>277.3</v>
          </cell>
          <cell r="H17">
            <v>294</v>
          </cell>
          <cell r="I17">
            <v>311.89999999999998</v>
          </cell>
          <cell r="J17">
            <v>326.39999999999998</v>
          </cell>
        </row>
      </sheetData>
      <sheetData sheetId="4" refreshError="1">
        <row r="6">
          <cell r="C6">
            <v>500</v>
          </cell>
          <cell r="D6">
            <v>97.883925000000005</v>
          </cell>
          <cell r="E6">
            <v>98.8</v>
          </cell>
          <cell r="F6">
            <v>101.5</v>
          </cell>
          <cell r="G6">
            <v>103.9</v>
          </cell>
          <cell r="H6">
            <v>106.7</v>
          </cell>
          <cell r="I6">
            <v>109.3</v>
          </cell>
          <cell r="J6">
            <v>110.8</v>
          </cell>
        </row>
        <row r="7">
          <cell r="C7">
            <v>450</v>
          </cell>
          <cell r="D7">
            <v>88.629671774193554</v>
          </cell>
          <cell r="E7">
            <v>89.5</v>
          </cell>
          <cell r="F7">
            <v>91.9</v>
          </cell>
          <cell r="G7">
            <v>94.1</v>
          </cell>
          <cell r="H7">
            <v>96.7</v>
          </cell>
          <cell r="I7">
            <v>98.9</v>
          </cell>
          <cell r="J7">
            <v>100.6</v>
          </cell>
        </row>
        <row r="8">
          <cell r="C8">
            <v>400</v>
          </cell>
          <cell r="D8">
            <v>79.288905645161293</v>
          </cell>
          <cell r="E8">
            <v>80.099999999999994</v>
          </cell>
          <cell r="F8">
            <v>82.2</v>
          </cell>
          <cell r="G8">
            <v>84.3</v>
          </cell>
          <cell r="H8">
            <v>86.5</v>
          </cell>
          <cell r="I8">
            <v>88.6</v>
          </cell>
          <cell r="J8">
            <v>90.1</v>
          </cell>
        </row>
        <row r="9">
          <cell r="C9">
            <v>350</v>
          </cell>
          <cell r="D9">
            <v>69.975459274193568</v>
          </cell>
          <cell r="E9">
            <v>70.7</v>
          </cell>
          <cell r="F9">
            <v>72.5</v>
          </cell>
          <cell r="G9">
            <v>74.400000000000006</v>
          </cell>
          <cell r="H9">
            <v>76.3</v>
          </cell>
          <cell r="I9">
            <v>78.3</v>
          </cell>
          <cell r="J9">
            <v>79.400000000000006</v>
          </cell>
        </row>
        <row r="10">
          <cell r="C10">
            <v>300</v>
          </cell>
          <cell r="D10">
            <v>60.623948790322601</v>
          </cell>
          <cell r="E10">
            <v>61.2</v>
          </cell>
          <cell r="F10">
            <v>63</v>
          </cell>
          <cell r="G10">
            <v>64.599999999999994</v>
          </cell>
          <cell r="H10">
            <v>66.3</v>
          </cell>
          <cell r="I10">
            <v>68</v>
          </cell>
          <cell r="J10">
            <v>69.099999999999994</v>
          </cell>
        </row>
        <row r="11">
          <cell r="C11">
            <v>250</v>
          </cell>
          <cell r="D11">
            <v>51.282555241935484</v>
          </cell>
          <cell r="E11">
            <v>51.8</v>
          </cell>
          <cell r="F11">
            <v>53.2</v>
          </cell>
          <cell r="G11">
            <v>54.7</v>
          </cell>
          <cell r="H11">
            <v>56.3</v>
          </cell>
          <cell r="I11">
            <v>57.6</v>
          </cell>
          <cell r="J11">
            <v>58.5</v>
          </cell>
        </row>
        <row r="12">
          <cell r="C12">
            <v>200</v>
          </cell>
          <cell r="D12">
            <v>41.952318548387105</v>
          </cell>
          <cell r="E12">
            <v>42.4</v>
          </cell>
          <cell r="F12">
            <v>43.6</v>
          </cell>
          <cell r="G12">
            <v>44.8</v>
          </cell>
          <cell r="H12">
            <v>46</v>
          </cell>
          <cell r="I12">
            <v>47.2</v>
          </cell>
          <cell r="J12">
            <v>48.2</v>
          </cell>
        </row>
        <row r="13">
          <cell r="C13">
            <v>150</v>
          </cell>
          <cell r="D13">
            <v>32.542851209677423</v>
          </cell>
          <cell r="E13">
            <v>32.9</v>
          </cell>
          <cell r="F13">
            <v>34</v>
          </cell>
          <cell r="G13">
            <v>34.799999999999997</v>
          </cell>
          <cell r="H13">
            <v>35.9</v>
          </cell>
          <cell r="I13">
            <v>37</v>
          </cell>
          <cell r="J13">
            <v>37.4</v>
          </cell>
        </row>
        <row r="14">
          <cell r="C14">
            <v>100</v>
          </cell>
          <cell r="D14">
            <v>23.235032258064521</v>
          </cell>
          <cell r="E14">
            <v>23.5</v>
          </cell>
          <cell r="F14">
            <v>24.2</v>
          </cell>
          <cell r="G14">
            <v>25</v>
          </cell>
          <cell r="H14">
            <v>25.7</v>
          </cell>
          <cell r="I14">
            <v>26.5</v>
          </cell>
          <cell r="J14">
            <v>26.9</v>
          </cell>
        </row>
      </sheetData>
      <sheetData sheetId="5" refreshError="1">
        <row r="4">
          <cell r="C4" t="str">
            <v>Full-on Peak</v>
          </cell>
          <cell r="D4">
            <v>1.34</v>
          </cell>
        </row>
        <row r="5">
          <cell r="C5" t="str">
            <v>Full-on High</v>
          </cell>
          <cell r="D5">
            <v>1.25</v>
          </cell>
        </row>
        <row r="6">
          <cell r="C6" t="str">
            <v>Full-on Typical</v>
          </cell>
          <cell r="D6">
            <v>1</v>
          </cell>
        </row>
        <row r="7">
          <cell r="C7" t="str">
            <v>Full-on App</v>
          </cell>
          <cell r="D7">
            <v>0.86</v>
          </cell>
        </row>
        <row r="8">
          <cell r="C8" t="str">
            <v>Full-on NOP</v>
          </cell>
          <cell r="D8">
            <v>0.72</v>
          </cell>
        </row>
        <row r="9">
          <cell r="C9" t="str">
            <v>Full-on Idle</v>
          </cell>
          <cell r="D9">
            <v>0.14000000000000001</v>
          </cell>
        </row>
        <row r="10">
          <cell r="C10" t="str">
            <v>Disabled</v>
          </cell>
          <cell r="D10">
            <v>0</v>
          </cell>
        </row>
      </sheetData>
      <sheetData sheetId="6" refreshError="1">
        <row r="4">
          <cell r="E4">
            <v>250</v>
          </cell>
        </row>
        <row r="5">
          <cell r="E5">
            <v>125</v>
          </cell>
        </row>
        <row r="6">
          <cell r="E6">
            <v>125</v>
          </cell>
        </row>
        <row r="7">
          <cell r="E7">
            <v>250</v>
          </cell>
        </row>
      </sheetData>
      <sheetData sheetId="7" refreshError="1">
        <row r="4">
          <cell r="B4" t="str">
            <v>Full-On</v>
          </cell>
        </row>
        <row r="5">
          <cell r="B5" t="str">
            <v>Hibernate (Typical)</v>
          </cell>
        </row>
        <row r="8">
          <cell r="B8" t="str">
            <v xml:space="preserve">YES </v>
          </cell>
          <cell r="C8">
            <v>5</v>
          </cell>
          <cell r="D8">
            <v>30</v>
          </cell>
        </row>
        <row r="9">
          <cell r="B9" t="str">
            <v>NO</v>
          </cell>
          <cell r="C9">
            <v>0</v>
          </cell>
          <cell r="D9">
            <v>0</v>
          </cell>
        </row>
        <row r="13">
          <cell r="B13" t="str">
            <v>High Activity</v>
          </cell>
          <cell r="C13">
            <v>42.424242424242422</v>
          </cell>
        </row>
        <row r="14">
          <cell r="B14" t="str">
            <v>Medium Activity</v>
          </cell>
          <cell r="C14">
            <v>20</v>
          </cell>
        </row>
        <row r="15">
          <cell r="B15" t="str">
            <v>NOT USED</v>
          </cell>
          <cell r="C15">
            <v>0</v>
          </cell>
        </row>
        <row r="22">
          <cell r="B22" t="str">
            <v>Maximum Power</v>
          </cell>
        </row>
        <row r="23">
          <cell r="B23" t="str">
            <v>Typical Power</v>
          </cell>
        </row>
        <row r="27">
          <cell r="B27" t="str">
            <v>BF60x</v>
          </cell>
        </row>
        <row r="30">
          <cell r="D30">
            <v>1.8</v>
          </cell>
          <cell r="E30">
            <v>1.9</v>
          </cell>
        </row>
        <row r="31">
          <cell r="D31">
            <v>3.3</v>
          </cell>
          <cell r="E31">
            <v>3.47</v>
          </cell>
        </row>
        <row r="32">
          <cell r="D32">
            <v>3.3</v>
          </cell>
          <cell r="E32">
            <v>3.47</v>
          </cell>
        </row>
        <row r="35">
          <cell r="C35">
            <v>4</v>
          </cell>
        </row>
        <row r="36">
          <cell r="C36">
            <v>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wer Estimation"/>
      <sheetName val="VDD_EXT Power Domain"/>
      <sheetName val="VDD_DMC Power Domain"/>
      <sheetName val="DMA Data Rate"/>
      <sheetName val="Typical Static Current"/>
      <sheetName val="Maximum Static Current"/>
      <sheetName val="Dynamic Current"/>
      <sheetName val="Dynamic Scaling Factors"/>
      <sheetName val="ClockSpecs"/>
      <sheetName val="Supporting Tab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">
          <cell r="C5" t="str">
            <v>Full-on Peak</v>
          </cell>
          <cell r="D5">
            <v>1.34</v>
          </cell>
        </row>
        <row r="6">
          <cell r="C6" t="str">
            <v>Full-on High</v>
          </cell>
          <cell r="D6">
            <v>1.25</v>
          </cell>
        </row>
        <row r="7">
          <cell r="C7" t="str">
            <v>Full-on Typical</v>
          </cell>
          <cell r="D7">
            <v>1</v>
          </cell>
        </row>
        <row r="8">
          <cell r="C8" t="str">
            <v>Full-on App</v>
          </cell>
          <cell r="D8">
            <v>0.86</v>
          </cell>
        </row>
        <row r="9">
          <cell r="C9" t="str">
            <v>Full-on NOP</v>
          </cell>
          <cell r="D9">
            <v>0.72</v>
          </cell>
        </row>
        <row r="10">
          <cell r="C10" t="str">
            <v>Full-on Idle</v>
          </cell>
          <cell r="D10">
            <v>0.14000000000000001</v>
          </cell>
        </row>
        <row r="11">
          <cell r="C11" t="str">
            <v>Disabled</v>
          </cell>
          <cell r="D11">
            <v>0</v>
          </cell>
        </row>
      </sheetData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ower Estimation"/>
      <sheetName val="VDD_INT SHARC ASF"/>
      <sheetName val="VDD_INT DMA Usage"/>
      <sheetName val="VDD_INT Accelerators"/>
      <sheetName val="VDD_EXT &amp; VDD_REF Power"/>
      <sheetName val="VDD_DMC Power"/>
    </sheetNames>
    <sheetDataSet>
      <sheetData sheetId="0">
        <row r="11">
          <cell r="G11">
            <v>1000</v>
          </cell>
        </row>
        <row r="12">
          <cell r="G12">
            <v>500</v>
          </cell>
        </row>
        <row r="13">
          <cell r="G13">
            <v>125</v>
          </cell>
        </row>
        <row r="14">
          <cell r="G14">
            <v>250</v>
          </cell>
        </row>
        <row r="15">
          <cell r="G15">
            <v>166</v>
          </cell>
        </row>
        <row r="16">
          <cell r="G16">
            <v>125</v>
          </cell>
        </row>
        <row r="31">
          <cell r="E31">
            <v>1.1000000000000001</v>
          </cell>
        </row>
        <row r="40">
          <cell r="G40">
            <v>3.3</v>
          </cell>
        </row>
        <row r="47">
          <cell r="G47">
            <v>1.35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wer Estimation"/>
      <sheetName val="VDD_INT Maximum Static Current"/>
      <sheetName val="VDD_INT Typical Static Current"/>
      <sheetName val="Core Activity Factors"/>
      <sheetName val="VDD_EXT Power Domain"/>
      <sheetName val="VDD_DMC Power Domain"/>
      <sheetName val="DMA_Usage"/>
      <sheetName val="GIGE"/>
      <sheetName val="USB"/>
      <sheetName val="MLB"/>
    </sheetNames>
    <sheetDataSet>
      <sheetData sheetId="0"/>
      <sheetData sheetId="1"/>
      <sheetData sheetId="2">
        <row r="5">
          <cell r="F5">
            <v>0.9</v>
          </cell>
        </row>
      </sheetData>
      <sheetData sheetId="3">
        <row r="6">
          <cell r="L6" t="str">
            <v>Clock_Gated</v>
          </cell>
        </row>
      </sheetData>
      <sheetData sheetId="4"/>
      <sheetData sheetId="5"/>
      <sheetData sheetId="6"/>
      <sheetData sheetId="7">
        <row r="3">
          <cell r="C3" t="str">
            <v>NOT USED</v>
          </cell>
        </row>
        <row r="4">
          <cell r="C4" t="str">
            <v>USED</v>
          </cell>
        </row>
      </sheetData>
      <sheetData sheetId="8">
        <row r="3">
          <cell r="C3" t="str">
            <v>NOT USED</v>
          </cell>
        </row>
      </sheetData>
      <sheetData sheetId="9">
        <row r="3">
          <cell r="C3" t="str">
            <v>NOT USED</v>
          </cell>
        </row>
        <row r="4">
          <cell r="C4" t="str">
            <v>USED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wer Estimation"/>
      <sheetName val="VDD_EXT Power Domain"/>
      <sheetName val="VDD_DMC Power Domain"/>
      <sheetName val="DMA Data Rate"/>
      <sheetName val="Typical Static Current"/>
      <sheetName val="Maximum Static Current"/>
      <sheetName val="Dynamic Current"/>
      <sheetName val="Dynamic Scaling Factors"/>
      <sheetName val="ClockSpecs"/>
      <sheetName val="Supporting Tabl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22">
          <cell r="B22" t="str">
            <v>Maximum Power</v>
          </cell>
        </row>
        <row r="23">
          <cell r="B23" t="str">
            <v>Typical Power</v>
          </cell>
        </row>
        <row r="27">
          <cell r="B27" t="str">
            <v>BF60x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49"/>
  <sheetViews>
    <sheetView showGridLines="0" tabSelected="1" topLeftCell="C10" zoomScale="70" zoomScaleNormal="70" workbookViewId="0">
      <selection activeCell="J34" sqref="J34"/>
    </sheetView>
  </sheetViews>
  <sheetFormatPr defaultColWidth="9.15625" defaultRowHeight="14.4" x14ac:dyDescent="0.55000000000000004"/>
  <cols>
    <col min="1" max="3" width="9.15625" style="1"/>
    <col min="4" max="4" width="26" style="1" customWidth="1"/>
    <col min="5" max="5" width="23.578125" style="1" customWidth="1"/>
    <col min="6" max="6" width="21.15625" style="1" customWidth="1"/>
    <col min="7" max="7" width="16.41796875" style="2" customWidth="1"/>
    <col min="8" max="8" width="22.83984375" style="4" customWidth="1"/>
    <col min="9" max="9" width="18.68359375" style="1" customWidth="1"/>
    <col min="10" max="10" width="31.578125" style="2" customWidth="1"/>
    <col min="11" max="11" width="20.83984375" style="2" customWidth="1"/>
    <col min="12" max="12" width="18.15625" style="6" customWidth="1"/>
    <col min="13" max="13" width="20.578125" style="1" customWidth="1"/>
    <col min="14" max="16384" width="9.15625" style="1"/>
  </cols>
  <sheetData>
    <row r="1" spans="1:24" ht="25.8" x14ac:dyDescent="0.95">
      <c r="A1" s="158" t="s">
        <v>114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</row>
    <row r="2" spans="1:24" ht="18.3" x14ac:dyDescent="0.7">
      <c r="A2" s="161" t="s">
        <v>31</v>
      </c>
      <c r="B2" s="161"/>
      <c r="C2" s="161"/>
      <c r="D2" s="161"/>
      <c r="E2" s="161"/>
      <c r="F2" s="161"/>
      <c r="G2" s="161"/>
      <c r="H2" s="161"/>
      <c r="I2" s="161"/>
      <c r="J2" s="160" t="s">
        <v>0</v>
      </c>
      <c r="K2" s="160"/>
      <c r="L2" s="160"/>
      <c r="M2" s="160"/>
    </row>
    <row r="3" spans="1:24" ht="7.5" customHeight="1" x14ac:dyDescent="0.7">
      <c r="A3" s="71"/>
      <c r="B3" s="71"/>
      <c r="C3" s="71"/>
      <c r="D3" s="71"/>
      <c r="E3" s="71"/>
      <c r="F3" s="71"/>
      <c r="G3" s="71"/>
      <c r="H3" s="71"/>
      <c r="I3" s="71"/>
      <c r="J3" s="70"/>
      <c r="K3" s="70"/>
      <c r="L3" s="70"/>
      <c r="M3" s="70"/>
    </row>
    <row r="4" spans="1:24" ht="14.7" thickBot="1" x14ac:dyDescent="0.6"/>
    <row r="5" spans="1:24" ht="48" customHeight="1" x14ac:dyDescent="0.55000000000000004">
      <c r="I5" s="167" t="s">
        <v>83</v>
      </c>
      <c r="J5" s="102" t="s">
        <v>72</v>
      </c>
      <c r="K5" s="81" t="s">
        <v>81</v>
      </c>
      <c r="L5" s="81" t="s">
        <v>82</v>
      </c>
      <c r="M5" s="82" t="s">
        <v>84</v>
      </c>
    </row>
    <row r="6" spans="1:24" ht="39" customHeight="1" x14ac:dyDescent="0.55000000000000004">
      <c r="A6" s="173" t="s">
        <v>1</v>
      </c>
      <c r="B6" s="174"/>
      <c r="C6" s="175"/>
      <c r="D6" s="164" t="s">
        <v>115</v>
      </c>
      <c r="E6" s="165"/>
      <c r="F6" s="166"/>
      <c r="G6" s="1"/>
      <c r="H6" s="3"/>
      <c r="I6" s="168"/>
      <c r="J6" s="116" t="s">
        <v>92</v>
      </c>
      <c r="K6" s="84" t="s">
        <v>73</v>
      </c>
      <c r="L6" s="84" t="s">
        <v>74</v>
      </c>
      <c r="M6" s="85" t="s">
        <v>75</v>
      </c>
    </row>
    <row r="7" spans="1:24" x14ac:dyDescent="0.55000000000000004">
      <c r="I7" s="168"/>
      <c r="J7" s="117" t="s">
        <v>93</v>
      </c>
      <c r="K7" s="84" t="s">
        <v>76</v>
      </c>
      <c r="L7" s="84" t="s">
        <v>74</v>
      </c>
      <c r="M7" s="85" t="s">
        <v>77</v>
      </c>
      <c r="N7"/>
    </row>
    <row r="8" spans="1:24" ht="14.7" thickBot="1" x14ac:dyDescent="0.6">
      <c r="I8" s="169"/>
      <c r="J8" s="118" t="s">
        <v>94</v>
      </c>
      <c r="K8" s="86" t="s">
        <v>78</v>
      </c>
      <c r="L8" s="86" t="s">
        <v>79</v>
      </c>
      <c r="M8" s="87" t="s">
        <v>80</v>
      </c>
      <c r="N8"/>
      <c r="O8"/>
      <c r="P8"/>
      <c r="Q8"/>
      <c r="R8"/>
      <c r="S8"/>
      <c r="T8"/>
      <c r="U8"/>
      <c r="V8"/>
      <c r="W8"/>
      <c r="X8"/>
    </row>
    <row r="9" spans="1:24" x14ac:dyDescent="0.55000000000000004">
      <c r="M9"/>
      <c r="N9"/>
      <c r="O9"/>
      <c r="P9"/>
      <c r="Q9"/>
      <c r="R9"/>
      <c r="S9"/>
      <c r="T9"/>
      <c r="U9"/>
      <c r="V9"/>
      <c r="W9"/>
      <c r="X9"/>
    </row>
    <row r="10" spans="1:24" ht="15" customHeight="1" thickBot="1" x14ac:dyDescent="0.6">
      <c r="C10" s="115"/>
      <c r="D10" s="7"/>
      <c r="E10" s="7"/>
      <c r="F10" s="7"/>
      <c r="G10" s="7"/>
      <c r="H10" s="112"/>
      <c r="M10" s="30"/>
      <c r="N10" s="18"/>
      <c r="O10"/>
      <c r="P10" s="133"/>
      <c r="Q10" s="133"/>
      <c r="R10" s="133"/>
      <c r="S10" s="133"/>
      <c r="T10"/>
      <c r="U10"/>
      <c r="V10"/>
      <c r="W10"/>
      <c r="X10"/>
    </row>
    <row r="11" spans="1:24" ht="15.75" customHeight="1" x14ac:dyDescent="0.75">
      <c r="B11" s="187"/>
      <c r="C11" s="188"/>
      <c r="D11" s="176" t="s">
        <v>12</v>
      </c>
      <c r="E11" s="177"/>
      <c r="F11" s="177"/>
      <c r="G11" s="177"/>
      <c r="H11" s="72" t="s">
        <v>11</v>
      </c>
      <c r="J11" s="170" t="s">
        <v>68</v>
      </c>
      <c r="K11" s="171"/>
      <c r="L11" s="172"/>
      <c r="M11" s="30"/>
      <c r="N11" s="18"/>
      <c r="O11"/>
      <c r="P11"/>
      <c r="Q11"/>
      <c r="R11"/>
      <c r="S11"/>
      <c r="T11"/>
      <c r="U11"/>
      <c r="V11"/>
      <c r="W11"/>
      <c r="X11"/>
    </row>
    <row r="12" spans="1:24" ht="15.75" customHeight="1" x14ac:dyDescent="0.75">
      <c r="B12" s="189"/>
      <c r="C12" s="190"/>
      <c r="D12" s="149" t="s">
        <v>107</v>
      </c>
      <c r="E12" s="163"/>
      <c r="F12" s="163"/>
      <c r="G12" s="5">
        <v>1000</v>
      </c>
      <c r="H12" s="19">
        <f>L12*G12*E30*0.582</f>
        <v>523.79999999999995</v>
      </c>
      <c r="J12" s="148" t="s">
        <v>25</v>
      </c>
      <c r="K12" s="149"/>
      <c r="L12" s="127">
        <v>0.9</v>
      </c>
      <c r="M12" s="30"/>
      <c r="N12" s="18"/>
      <c r="O12"/>
      <c r="P12"/>
      <c r="Q12"/>
      <c r="R12"/>
      <c r="S12"/>
      <c r="T12"/>
      <c r="U12"/>
      <c r="V12"/>
      <c r="W12"/>
      <c r="X12"/>
    </row>
    <row r="13" spans="1:24" ht="15.75" customHeight="1" x14ac:dyDescent="0.75">
      <c r="B13" s="189"/>
      <c r="C13" s="190"/>
      <c r="D13" s="149" t="s">
        <v>2</v>
      </c>
      <c r="E13" s="163"/>
      <c r="F13" s="163"/>
      <c r="G13" s="5">
        <v>500</v>
      </c>
      <c r="H13" s="19">
        <f>0.254*G13*L12</f>
        <v>114.3</v>
      </c>
      <c r="J13" s="148" t="s">
        <v>6</v>
      </c>
      <c r="K13" s="149"/>
      <c r="L13" s="77">
        <v>125</v>
      </c>
      <c r="M13" s="111"/>
      <c r="N13" s="111"/>
      <c r="O13"/>
      <c r="P13"/>
      <c r="Q13"/>
      <c r="R13"/>
      <c r="S13"/>
      <c r="T13"/>
      <c r="U13"/>
      <c r="V13"/>
      <c r="W13"/>
      <c r="X13"/>
    </row>
    <row r="14" spans="1:24" ht="15" customHeight="1" x14ac:dyDescent="0.55000000000000004">
      <c r="B14" s="189"/>
      <c r="C14" s="190"/>
      <c r="D14" s="149" t="s">
        <v>3</v>
      </c>
      <c r="E14" s="163"/>
      <c r="F14" s="163"/>
      <c r="G14" s="5">
        <v>125</v>
      </c>
      <c r="H14" s="19">
        <f>0.066*G14*L12</f>
        <v>7.4249999999999998</v>
      </c>
      <c r="J14" s="148" t="s">
        <v>15</v>
      </c>
      <c r="K14" s="149"/>
      <c r="L14" s="19">
        <f>INDEX('VDD_INT Static Current'!C4:'VDD_INT Static Current'!E17,MATCH('Power Estimation'!L13,'VDD_INT Static Current'!B4:'VDD_INT Static Current'!B17,0),MATCH('Power Estimation'!L12,'VDD_INT Static Current'!C3:'VDD_INT Static Current'!E3,0))</f>
        <v>1170.6500000000001</v>
      </c>
      <c r="M14" s="111"/>
      <c r="N14" s="111"/>
      <c r="O14"/>
      <c r="P14"/>
      <c r="Q14"/>
      <c r="R14"/>
      <c r="S14"/>
      <c r="T14"/>
      <c r="U14"/>
      <c r="V14"/>
      <c r="W14"/>
      <c r="X14"/>
    </row>
    <row r="15" spans="1:24" ht="15" customHeight="1" x14ac:dyDescent="0.55000000000000004">
      <c r="B15" s="189"/>
      <c r="C15" s="190"/>
      <c r="D15" s="149" t="s">
        <v>4</v>
      </c>
      <c r="E15" s="163"/>
      <c r="F15" s="163"/>
      <c r="G15" s="5">
        <v>333</v>
      </c>
      <c r="H15" s="19">
        <f>0.008*G15*L12</f>
        <v>2.3976000000000002</v>
      </c>
      <c r="J15" s="162" t="s">
        <v>42</v>
      </c>
      <c r="K15" s="163"/>
      <c r="L15" s="19">
        <f>(H19+H35)</f>
        <v>883.53499999999974</v>
      </c>
      <c r="M15" s="111"/>
      <c r="N15" s="111"/>
      <c r="O15"/>
      <c r="P15"/>
      <c r="Q15"/>
      <c r="R15"/>
      <c r="S15"/>
      <c r="T15"/>
      <c r="U15"/>
      <c r="V15"/>
      <c r="W15"/>
      <c r="X15"/>
    </row>
    <row r="16" spans="1:24" ht="15.75" customHeight="1" thickBot="1" x14ac:dyDescent="0.6">
      <c r="B16" s="189"/>
      <c r="C16" s="190"/>
      <c r="D16" s="149" t="s">
        <v>116</v>
      </c>
      <c r="E16" s="163"/>
      <c r="F16" s="163"/>
      <c r="G16" s="5">
        <v>166</v>
      </c>
      <c r="H16" s="19">
        <f>0.021*G16*L12</f>
        <v>3.1374000000000004</v>
      </c>
      <c r="J16" s="78" t="s">
        <v>43</v>
      </c>
      <c r="K16" s="79"/>
      <c r="L16" s="80">
        <f>L14+L15</f>
        <v>2054.1849999999999</v>
      </c>
      <c r="M16" s="111"/>
      <c r="N16" s="111"/>
      <c r="O16"/>
      <c r="P16"/>
      <c r="Q16"/>
      <c r="R16"/>
      <c r="S16"/>
      <c r="T16"/>
      <c r="U16"/>
      <c r="V16"/>
      <c r="W16"/>
      <c r="X16"/>
    </row>
    <row r="17" spans="2:24" ht="15" customHeight="1" x14ac:dyDescent="0.55000000000000004">
      <c r="B17" s="189"/>
      <c r="C17" s="190"/>
      <c r="D17" s="195" t="s">
        <v>16</v>
      </c>
      <c r="E17" s="195"/>
      <c r="F17" s="149"/>
      <c r="G17" s="5">
        <v>125</v>
      </c>
      <c r="H17" s="19">
        <f>0.026*G17*L12</f>
        <v>2.9250000000000003</v>
      </c>
      <c r="J17" s="17"/>
      <c r="M17" s="111"/>
      <c r="N17" s="111"/>
      <c r="O17"/>
      <c r="P17"/>
      <c r="Q17"/>
      <c r="R17"/>
      <c r="S17"/>
      <c r="T17"/>
      <c r="U17"/>
      <c r="V17"/>
      <c r="W17"/>
      <c r="X17"/>
    </row>
    <row r="18" spans="2:24" ht="15" customHeight="1" x14ac:dyDescent="0.55000000000000004">
      <c r="B18" s="189"/>
      <c r="C18" s="190"/>
      <c r="D18" s="149" t="s">
        <v>113</v>
      </c>
      <c r="E18" s="163"/>
      <c r="F18" s="163"/>
      <c r="G18" s="5" t="s">
        <v>111</v>
      </c>
      <c r="H18" s="19">
        <f>VLOOKUP(G18, 'VDD_INT DMA Usage'!C4:I6, 2, FALSE) *L12/0.9</f>
        <v>130</v>
      </c>
      <c r="O18"/>
      <c r="P18"/>
      <c r="Q18"/>
      <c r="R18"/>
      <c r="S18"/>
      <c r="T18"/>
      <c r="U18"/>
      <c r="V18"/>
      <c r="W18"/>
      <c r="X18"/>
    </row>
    <row r="19" spans="2:24" ht="15.75" customHeight="1" thickBot="1" x14ac:dyDescent="0.6">
      <c r="B19" s="189"/>
      <c r="C19" s="190"/>
      <c r="D19" s="184" t="s">
        <v>13</v>
      </c>
      <c r="E19" s="185"/>
      <c r="F19" s="185"/>
      <c r="G19" s="185"/>
      <c r="H19" s="36">
        <f>SUM(H12:H18)</f>
        <v>783.98499999999979</v>
      </c>
      <c r="O19"/>
      <c r="P19"/>
      <c r="Q19"/>
      <c r="R19"/>
      <c r="S19"/>
      <c r="T19"/>
      <c r="U19"/>
      <c r="V19"/>
      <c r="W19"/>
      <c r="X19"/>
    </row>
    <row r="20" spans="2:24" ht="18" customHeight="1" x14ac:dyDescent="0.75">
      <c r="B20" s="189"/>
      <c r="C20" s="190"/>
      <c r="H20" s="12"/>
      <c r="J20" s="154" t="s">
        <v>104</v>
      </c>
      <c r="K20" s="155"/>
      <c r="L20" s="73">
        <f>L15*L12/1000</f>
        <v>0.79518149999999976</v>
      </c>
      <c r="M20"/>
      <c r="N20"/>
      <c r="O20"/>
      <c r="P20" s="133"/>
      <c r="Q20" s="133"/>
      <c r="R20"/>
      <c r="S20"/>
      <c r="T20"/>
      <c r="U20"/>
      <c r="V20"/>
      <c r="W20"/>
      <c r="X20"/>
    </row>
    <row r="21" spans="2:24" ht="18" customHeight="1" x14ac:dyDescent="0.75">
      <c r="B21" s="189"/>
      <c r="C21" s="190"/>
      <c r="D21" s="193" t="s">
        <v>109</v>
      </c>
      <c r="E21" s="194"/>
      <c r="F21"/>
      <c r="G21"/>
      <c r="H21" s="103"/>
      <c r="J21" s="156" t="s">
        <v>105</v>
      </c>
      <c r="K21" s="157"/>
      <c r="L21" s="20">
        <f>L14*L12/1000</f>
        <v>1.053585</v>
      </c>
      <c r="M21"/>
      <c r="N21"/>
      <c r="O21"/>
      <c r="P21"/>
      <c r="Q21"/>
      <c r="R21"/>
      <c r="S21"/>
      <c r="T21"/>
      <c r="U21"/>
      <c r="V21"/>
      <c r="W21"/>
      <c r="X21"/>
    </row>
    <row r="22" spans="2:24" ht="15" customHeight="1" x14ac:dyDescent="0.55000000000000004">
      <c r="B22" s="189"/>
      <c r="C22" s="190"/>
      <c r="D22" s="114" t="s">
        <v>108</v>
      </c>
      <c r="E22" s="16">
        <v>0</v>
      </c>
      <c r="F22"/>
      <c r="G22"/>
      <c r="H22" s="103"/>
      <c r="J22" s="150" t="s">
        <v>26</v>
      </c>
      <c r="K22" s="151"/>
      <c r="L22" s="146">
        <f>L20+L21</f>
        <v>1.8487664999999998</v>
      </c>
      <c r="M22"/>
      <c r="N22"/>
      <c r="O22"/>
      <c r="P22"/>
      <c r="Q22"/>
      <c r="R22"/>
      <c r="S22"/>
      <c r="T22"/>
      <c r="U22"/>
      <c r="V22"/>
      <c r="W22"/>
      <c r="X22"/>
    </row>
    <row r="23" spans="2:24" ht="15.75" customHeight="1" thickBot="1" x14ac:dyDescent="0.6">
      <c r="B23" s="189"/>
      <c r="C23" s="190"/>
      <c r="D23" s="114" t="s">
        <v>24</v>
      </c>
      <c r="E23" s="16">
        <v>0</v>
      </c>
      <c r="H23" s="12"/>
      <c r="J23" s="152"/>
      <c r="K23" s="153"/>
      <c r="L23" s="147"/>
      <c r="M23"/>
      <c r="N23"/>
      <c r="O23"/>
      <c r="P23"/>
      <c r="Q23"/>
      <c r="R23"/>
      <c r="S23"/>
      <c r="T23"/>
      <c r="U23"/>
      <c r="V23"/>
      <c r="W23"/>
      <c r="X23"/>
    </row>
    <row r="24" spans="2:24" ht="15" customHeight="1" x14ac:dyDescent="0.55000000000000004">
      <c r="B24" s="189"/>
      <c r="C24" s="190"/>
      <c r="D24" s="114" t="s">
        <v>47</v>
      </c>
      <c r="E24" s="5">
        <v>0</v>
      </c>
      <c r="H24" s="12"/>
      <c r="J24" s="18"/>
      <c r="K24" s="18"/>
      <c r="L24" s="18"/>
      <c r="M24"/>
      <c r="N24"/>
      <c r="O24"/>
    </row>
    <row r="25" spans="2:24" ht="18" customHeight="1" x14ac:dyDescent="0.55000000000000004">
      <c r="B25" s="189"/>
      <c r="C25" s="190"/>
      <c r="D25" s="114" t="s">
        <v>44</v>
      </c>
      <c r="E25" s="5">
        <v>0</v>
      </c>
      <c r="H25" s="12"/>
      <c r="J25" s="1"/>
      <c r="K25" s="1"/>
      <c r="L25" s="1"/>
      <c r="N25"/>
      <c r="O25"/>
    </row>
    <row r="26" spans="2:24" ht="15.75" customHeight="1" thickBot="1" x14ac:dyDescent="0.6">
      <c r="B26" s="189"/>
      <c r="C26" s="190"/>
      <c r="D26" s="114" t="s">
        <v>8</v>
      </c>
      <c r="E26" s="5">
        <v>0</v>
      </c>
      <c r="H26" s="12"/>
      <c r="J26" s="1"/>
      <c r="K26" s="1"/>
      <c r="L26" s="1"/>
      <c r="N26"/>
      <c r="O26"/>
    </row>
    <row r="27" spans="2:24" ht="15" customHeight="1" x14ac:dyDescent="0.55000000000000004">
      <c r="B27" s="189"/>
      <c r="C27" s="190"/>
      <c r="D27" s="114" t="s">
        <v>9</v>
      </c>
      <c r="E27" s="5">
        <v>0</v>
      </c>
      <c r="H27" s="12"/>
      <c r="J27" s="137" t="s">
        <v>27</v>
      </c>
      <c r="K27" s="138"/>
      <c r="L27" s="139"/>
      <c r="M27" s="134">
        <f>L22+H40+H48</f>
        <v>2.2156941874999996</v>
      </c>
      <c r="N27"/>
      <c r="O27"/>
    </row>
    <row r="28" spans="2:24" ht="15" customHeight="1" x14ac:dyDescent="0.55000000000000004">
      <c r="B28" s="189"/>
      <c r="C28" s="190"/>
      <c r="D28" s="114" t="s">
        <v>10</v>
      </c>
      <c r="E28" s="5">
        <v>1</v>
      </c>
      <c r="H28" s="12"/>
      <c r="J28" s="140"/>
      <c r="K28" s="141"/>
      <c r="L28" s="142"/>
      <c r="M28" s="135"/>
      <c r="N28"/>
      <c r="O28"/>
    </row>
    <row r="29" spans="2:24" ht="18" customHeight="1" x14ac:dyDescent="0.55000000000000004">
      <c r="B29" s="189"/>
      <c r="C29" s="190"/>
      <c r="D29" s="114" t="s">
        <v>46</v>
      </c>
      <c r="E29" s="5">
        <v>0</v>
      </c>
      <c r="H29" s="12"/>
      <c r="J29" s="140"/>
      <c r="K29" s="141"/>
      <c r="L29" s="142"/>
      <c r="M29" s="135"/>
      <c r="N29"/>
      <c r="O29"/>
    </row>
    <row r="30" spans="2:24" ht="15.75" customHeight="1" thickBot="1" x14ac:dyDescent="0.6">
      <c r="B30" s="189"/>
      <c r="C30" s="190"/>
      <c r="D30" s="113" t="s">
        <v>21</v>
      </c>
      <c r="E30" s="69">
        <f>VLOOKUP(D22, 'VDD_INT CORE ASF'!C4:D11, 2, FALSE)*E22 + VLOOKUP(D23, 'VDD_INT CORE ASF'!C4:D11, 2, FALSE)*E23
+VLOOKUP(D24, 'VDD_INT CORE ASF'!C4:D11, 2, FALSE)*E24 + VLOOKUP(D25, 'VDD_INT CORE ASF'!C4:D11, 2, FALSE)*E25
+VLOOKUP(D26, 'VDD_INT CORE ASF'!C4:D11, 2, FALSE)*E26 + VLOOKUP(D27, 'VDD_INT CORE ASF'!C4:D11, 2, FALSE)*E27
+VLOOKUP(D28, 'VDD_INT CORE ASF'!C5:D11, 2, FALSE)*E28 + VLOOKUP(D29, 'VDD_INT CORE ASF'!C5:D11, 2, FALSE)*E29</f>
        <v>1</v>
      </c>
      <c r="H30" s="12"/>
      <c r="J30" s="143"/>
      <c r="K30" s="144"/>
      <c r="L30" s="145"/>
      <c r="M30" s="136"/>
      <c r="N30"/>
      <c r="O30"/>
    </row>
    <row r="31" spans="2:24" ht="15" customHeight="1" x14ac:dyDescent="0.55000000000000004">
      <c r="B31" s="189"/>
      <c r="C31" s="190"/>
      <c r="H31" s="12"/>
      <c r="N31"/>
      <c r="O31"/>
    </row>
    <row r="32" spans="2:24" ht="15" customHeight="1" x14ac:dyDescent="0.55000000000000004">
      <c r="B32" s="189"/>
      <c r="C32" s="190"/>
      <c r="D32" s="110" t="s">
        <v>5</v>
      </c>
      <c r="E32" s="186" t="s">
        <v>125</v>
      </c>
      <c r="F32" s="186"/>
      <c r="G32" s="74"/>
      <c r="H32" s="76"/>
    </row>
    <row r="33" spans="2:12" ht="15" customHeight="1" x14ac:dyDescent="0.55000000000000004">
      <c r="B33" s="189"/>
      <c r="C33" s="190"/>
      <c r="D33" s="120" t="s">
        <v>40</v>
      </c>
      <c r="E33" s="101" t="s">
        <v>102</v>
      </c>
      <c r="F33" s="99" t="s">
        <v>100</v>
      </c>
      <c r="G33" s="31">
        <v>50</v>
      </c>
      <c r="H33" s="104">
        <f>('VDD_INT Accelerators'!C4) *G33/100* L12/0.9*G12/1000</f>
        <v>78.25</v>
      </c>
    </row>
    <row r="34" spans="2:12" ht="15" customHeight="1" x14ac:dyDescent="0.55000000000000004">
      <c r="B34" s="189"/>
      <c r="C34" s="190"/>
      <c r="D34" s="121" t="s">
        <v>41</v>
      </c>
      <c r="E34" s="101" t="s">
        <v>103</v>
      </c>
      <c r="F34" s="99" t="s">
        <v>100</v>
      </c>
      <c r="G34" s="31">
        <v>50</v>
      </c>
      <c r="H34" s="104">
        <f>('VDD_INT Accelerators'!C7) *G34/100 *L12/0.9*G12/1000</f>
        <v>21.3</v>
      </c>
    </row>
    <row r="35" spans="2:12" ht="15" customHeight="1" thickBot="1" x14ac:dyDescent="0.6">
      <c r="B35" s="191"/>
      <c r="C35" s="192"/>
      <c r="D35" s="105" t="s">
        <v>14</v>
      </c>
      <c r="E35" s="105"/>
      <c r="F35" s="105"/>
      <c r="G35" s="106"/>
      <c r="H35" s="107">
        <f>SUM(H33:H34)</f>
        <v>99.55</v>
      </c>
    </row>
    <row r="36" spans="2:12" ht="21.75" customHeight="1" thickBot="1" x14ac:dyDescent="0.6">
      <c r="B36" s="29"/>
      <c r="H36" s="12"/>
    </row>
    <row r="37" spans="2:12" x14ac:dyDescent="0.55000000000000004">
      <c r="B37" s="181" t="s">
        <v>33</v>
      </c>
      <c r="C37" s="32"/>
      <c r="D37" s="9"/>
      <c r="E37" s="9"/>
      <c r="F37" s="9"/>
      <c r="G37" s="9"/>
      <c r="H37" s="33"/>
    </row>
    <row r="38" spans="2:12" ht="16.8" x14ac:dyDescent="0.75">
      <c r="B38" s="182"/>
      <c r="C38" s="34"/>
      <c r="D38" s="26" t="s">
        <v>34</v>
      </c>
      <c r="E38" s="27"/>
      <c r="F38" s="28"/>
      <c r="G38" s="5">
        <v>3.3</v>
      </c>
      <c r="H38" s="12"/>
    </row>
    <row r="39" spans="2:12" ht="16.8" x14ac:dyDescent="0.75">
      <c r="B39" s="182"/>
      <c r="C39" s="34"/>
      <c r="D39" s="26" t="s">
        <v>52</v>
      </c>
      <c r="E39" s="27"/>
      <c r="F39" s="27"/>
      <c r="G39" s="28"/>
      <c r="H39" s="19">
        <f>H40/G38</f>
        <v>8.8172026515151505E-2</v>
      </c>
    </row>
    <row r="40" spans="2:12" ht="16.8" x14ac:dyDescent="0.75">
      <c r="B40" s="182"/>
      <c r="C40" s="34"/>
      <c r="D40" s="26" t="s">
        <v>35</v>
      </c>
      <c r="E40" s="27"/>
      <c r="F40" s="27"/>
      <c r="G40" s="28"/>
      <c r="H40" s="108">
        <f>'VDD_EXT &amp; VDD_REF Power'!K22/1000</f>
        <v>0.29096768749999996</v>
      </c>
      <c r="J40"/>
      <c r="K40"/>
      <c r="L40"/>
    </row>
    <row r="41" spans="2:12" x14ac:dyDescent="0.55000000000000004">
      <c r="B41" s="182"/>
      <c r="C41" s="34"/>
      <c r="H41" s="12"/>
    </row>
    <row r="42" spans="2:12" ht="4.5" customHeight="1" thickBot="1" x14ac:dyDescent="0.6">
      <c r="B42" s="182"/>
      <c r="C42" s="34"/>
      <c r="H42" s="12"/>
      <c r="J42" s="1"/>
      <c r="K42" s="1"/>
      <c r="L42" s="1"/>
    </row>
    <row r="43" spans="2:12" hidden="1" x14ac:dyDescent="0.55000000000000004">
      <c r="B43" s="183"/>
      <c r="C43" s="34"/>
      <c r="H43" s="12"/>
      <c r="J43" s="1"/>
      <c r="K43" s="1"/>
      <c r="L43" s="1"/>
    </row>
    <row r="44" spans="2:12" ht="14.7" hidden="1" thickBot="1" x14ac:dyDescent="0.6">
      <c r="B44" s="119"/>
      <c r="C44" s="35"/>
      <c r="D44" s="13"/>
      <c r="E44" s="13"/>
      <c r="F44" s="13"/>
      <c r="G44" s="14"/>
      <c r="H44" s="15"/>
      <c r="J44" s="1"/>
      <c r="K44" s="1"/>
      <c r="L44" s="1"/>
    </row>
    <row r="45" spans="2:12" ht="15" customHeight="1" x14ac:dyDescent="0.55000000000000004">
      <c r="B45" s="178" t="s">
        <v>86</v>
      </c>
      <c r="C45" s="9"/>
      <c r="D45" s="9"/>
      <c r="E45" s="9"/>
      <c r="F45" s="9"/>
      <c r="G45" s="10"/>
      <c r="H45" s="11"/>
      <c r="J45" s="1"/>
      <c r="K45" s="1"/>
      <c r="L45" s="1"/>
    </row>
    <row r="46" spans="2:12" ht="16.8" x14ac:dyDescent="0.75">
      <c r="B46" s="179"/>
      <c r="D46" s="26" t="s">
        <v>49</v>
      </c>
      <c r="E46" s="27"/>
      <c r="F46" s="28"/>
      <c r="G46" s="5">
        <v>1.8</v>
      </c>
      <c r="H46" s="12"/>
      <c r="J46" s="1"/>
      <c r="K46" s="1"/>
      <c r="L46" s="1"/>
    </row>
    <row r="47" spans="2:12" ht="16.8" x14ac:dyDescent="0.75">
      <c r="B47" s="179"/>
      <c r="D47" s="26" t="s">
        <v>53</v>
      </c>
      <c r="E47" s="27"/>
      <c r="F47" s="27"/>
      <c r="G47" s="48"/>
      <c r="H47" s="19">
        <f>H48/G46</f>
        <v>4.2200000000000008E-2</v>
      </c>
      <c r="J47" s="1"/>
      <c r="K47" s="1"/>
      <c r="L47" s="1"/>
    </row>
    <row r="48" spans="2:12" ht="16.8" x14ac:dyDescent="0.75">
      <c r="B48" s="179"/>
      <c r="D48" s="26" t="s">
        <v>39</v>
      </c>
      <c r="E48" s="27"/>
      <c r="F48" s="27"/>
      <c r="G48" s="28"/>
      <c r="H48" s="108">
        <f>'VDD_EXT &amp; VDD_REF Power'!K23/1000</f>
        <v>7.5960000000000014E-2</v>
      </c>
      <c r="J48" s="1"/>
      <c r="K48" s="1"/>
      <c r="L48" s="1"/>
    </row>
    <row r="49" spans="2:12" ht="16.5" customHeight="1" thickBot="1" x14ac:dyDescent="0.6">
      <c r="B49" s="180"/>
      <c r="C49" s="13"/>
      <c r="D49" s="122"/>
      <c r="E49" s="122"/>
      <c r="F49" s="122"/>
      <c r="G49" s="122"/>
      <c r="H49" s="123"/>
      <c r="J49" s="1"/>
      <c r="K49" s="1"/>
      <c r="L49" s="1"/>
    </row>
  </sheetData>
  <dataConsolidate/>
  <mergeCells count="33">
    <mergeCell ref="B45:B49"/>
    <mergeCell ref="B37:B43"/>
    <mergeCell ref="D12:F12"/>
    <mergeCell ref="D18:F18"/>
    <mergeCell ref="D16:F16"/>
    <mergeCell ref="D19:G19"/>
    <mergeCell ref="E32:F32"/>
    <mergeCell ref="B11:C35"/>
    <mergeCell ref="D21:E21"/>
    <mergeCell ref="D17:F17"/>
    <mergeCell ref="A1:N1"/>
    <mergeCell ref="J2:M2"/>
    <mergeCell ref="A2:I2"/>
    <mergeCell ref="J15:K15"/>
    <mergeCell ref="D6:F6"/>
    <mergeCell ref="D13:F13"/>
    <mergeCell ref="D14:F14"/>
    <mergeCell ref="I5:I8"/>
    <mergeCell ref="J11:L11"/>
    <mergeCell ref="A6:C6"/>
    <mergeCell ref="D15:F15"/>
    <mergeCell ref="J12:K12"/>
    <mergeCell ref="D11:G11"/>
    <mergeCell ref="P10:S10"/>
    <mergeCell ref="P20:Q20"/>
    <mergeCell ref="M27:M30"/>
    <mergeCell ref="J27:L30"/>
    <mergeCell ref="L22:L23"/>
    <mergeCell ref="J13:K13"/>
    <mergeCell ref="J14:K14"/>
    <mergeCell ref="J22:K23"/>
    <mergeCell ref="J20:K20"/>
    <mergeCell ref="J21:K21"/>
  </mergeCells>
  <dataValidations xWindow="511" yWindow="532" count="8">
    <dataValidation type="list" showInputMessage="1" showErrorMessage="1" sqref="K17" xr:uid="{00000000-0002-0000-0000-000001000000}">
      <formula1>Temperature</formula1>
    </dataValidation>
    <dataValidation type="list" showInputMessage="1" showErrorMessage="1" sqref="K16" xr:uid="{00000000-0002-0000-0000-000002000000}">
      <formula1>VDD_INT</formula1>
    </dataValidation>
    <dataValidation type="list" allowBlank="1" showInputMessage="1" showErrorMessage="1" sqref="N10" xr:uid="{00000000-0002-0000-0000-000004000000}">
      <formula1>SIDD_Levels</formula1>
    </dataValidation>
    <dataValidation allowBlank="1" showInputMessage="1" showErrorMessage="1" error="Wrong Input" prompt="Sum of these fractions should be 1" sqref="E29 E22:E27" xr:uid="{00000000-0002-0000-0000-000007000000}"/>
    <dataValidation allowBlank="1" showInputMessage="1" showErrorMessage="1" promptTitle="Config Warning" prompt="Consult the processor datasheet to ensure settings are within specification" sqref="G46:G47 G12:G17" xr:uid="{00000000-0002-0000-0000-00000A000000}"/>
    <dataValidation allowBlank="1" showInputMessage="1" showErrorMessage="1" promptTitle="Configuration Warning" prompt="Consult the processor datasheet to ensure settings are within specification" sqref="G38" xr:uid="{00000000-0002-0000-0000-00000B000000}"/>
    <dataValidation allowBlank="1" showInputMessage="1" showErrorMessage="1" error="Wrong Input_x000a_" prompt="Sum of these fractions should be 1" sqref="E28" xr:uid="{A8741C9B-1227-4624-8CB4-136334FC7B9D}"/>
    <dataValidation allowBlank="1" showInputMessage="1" showErrorMessage="1" prompt="Enter the percentage of time FIR is active. The value should be from 0 to 100." sqref="G33:G34" xr:uid="{4DDFD273-F02F-4419-ABFD-F4AEAECD1AC3}"/>
  </dataValidations>
  <pageMargins left="0.7" right="0.7" top="0.75" bottom="0.75" header="0.3" footer="0.3"/>
  <pageSetup paperSize="9" orientation="portrait" verticalDpi="1200" r:id="rId1"/>
  <extLst>
    <ext xmlns:x14="http://schemas.microsoft.com/office/spreadsheetml/2009/9/main" uri="{CCE6A557-97BC-4b89-ADB6-D9C93CAAB3DF}">
      <x14:dataValidations xmlns:xm="http://schemas.microsoft.com/office/excel/2006/main" xWindow="511" yWindow="532" count="3">
        <x14:dataValidation type="list" showInputMessage="1" error="Use value form Drop down" promptTitle="DMA Profile" prompt="Select DMA Profile" xr:uid="{00000000-0002-0000-0000-000009000000}">
          <x14:formula1>
            <xm:f>'VDD_INT DMA Usage'!$C$4:$C$6</xm:f>
          </x14:formula1>
          <xm:sqref>G18</xm:sqref>
        </x14:dataValidation>
        <x14:dataValidation type="list" allowBlank="1" showInputMessage="1" showErrorMessage="1" xr:uid="{86D7DB47-0006-4D33-BD79-0B05BF0E609B}">
          <x14:formula1>
            <xm:f>'VDD_INT Static Current'!$C$3:$E$3</xm:f>
          </x14:formula1>
          <xm:sqref>L12</xm:sqref>
        </x14:dataValidation>
        <x14:dataValidation type="list" allowBlank="1" showInputMessage="1" showErrorMessage="1" xr:uid="{389D0325-07C3-4EEF-A344-AE3244D028B8}">
          <x14:formula1>
            <xm:f>'VDD_INT Static Current'!$B$4:$B$17</xm:f>
          </x14:formula1>
          <xm:sqref>L13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049725-AC8E-4006-8AFC-22575B5501E9}">
  <dimension ref="B2:E20"/>
  <sheetViews>
    <sheetView zoomScale="85" zoomScaleNormal="85" workbookViewId="0">
      <selection activeCell="H18" sqref="H18"/>
    </sheetView>
  </sheetViews>
  <sheetFormatPr defaultColWidth="9" defaultRowHeight="14.4" x14ac:dyDescent="0.55000000000000004"/>
  <cols>
    <col min="1" max="1" width="9" style="1"/>
    <col min="2" max="2" width="21.578125" style="1" customWidth="1"/>
    <col min="3" max="5" width="11.15625" style="1" bestFit="1" customWidth="1"/>
    <col min="6" max="16384" width="9" style="1"/>
  </cols>
  <sheetData>
    <row r="2" spans="2:5" ht="16.8" x14ac:dyDescent="0.75">
      <c r="B2" s="44" t="s">
        <v>15</v>
      </c>
      <c r="C2" s="196" t="s">
        <v>99</v>
      </c>
      <c r="D2" s="186"/>
      <c r="E2" s="197"/>
    </row>
    <row r="3" spans="2:5" x14ac:dyDescent="0.55000000000000004">
      <c r="B3" s="44" t="s">
        <v>38</v>
      </c>
      <c r="C3" s="44">
        <v>0.85499999999999998</v>
      </c>
      <c r="D3" s="44">
        <v>0.9</v>
      </c>
      <c r="E3" s="44">
        <v>0.94499999999999995</v>
      </c>
    </row>
    <row r="4" spans="2:5" x14ac:dyDescent="0.55000000000000004">
      <c r="B4" s="44">
        <v>-40</v>
      </c>
      <c r="C4" s="128">
        <v>7.48</v>
      </c>
      <c r="D4" s="128">
        <v>9.5399999999999991</v>
      </c>
      <c r="E4" s="128">
        <v>12.47</v>
      </c>
    </row>
    <row r="5" spans="2:5" x14ac:dyDescent="0.55000000000000004">
      <c r="B5" s="44">
        <v>-20</v>
      </c>
      <c r="C5" s="88">
        <v>14.86</v>
      </c>
      <c r="D5" s="88">
        <v>18.670000000000002</v>
      </c>
      <c r="E5" s="88">
        <v>23.84</v>
      </c>
    </row>
    <row r="6" spans="2:5" x14ac:dyDescent="0.55000000000000004">
      <c r="B6" s="44">
        <v>-10</v>
      </c>
      <c r="C6" s="88">
        <v>21.08</v>
      </c>
      <c r="D6" s="88">
        <v>26.17</v>
      </c>
      <c r="E6" s="88">
        <v>33.049999999999997</v>
      </c>
    </row>
    <row r="7" spans="2:5" x14ac:dyDescent="0.55000000000000004">
      <c r="B7" s="44">
        <v>0</v>
      </c>
      <c r="C7" s="88">
        <v>29.89</v>
      </c>
      <c r="D7" s="88">
        <v>36.68</v>
      </c>
      <c r="E7" s="88">
        <v>45.81</v>
      </c>
    </row>
    <row r="8" spans="2:5" x14ac:dyDescent="0.55000000000000004">
      <c r="B8" s="44">
        <v>10</v>
      </c>
      <c r="C8" s="88">
        <v>41.72</v>
      </c>
      <c r="D8" s="88">
        <v>50.79</v>
      </c>
      <c r="E8" s="88">
        <v>62.64</v>
      </c>
    </row>
    <row r="9" spans="2:5" x14ac:dyDescent="0.55000000000000004">
      <c r="B9" s="44">
        <v>25</v>
      </c>
      <c r="C9" s="88">
        <v>68.17</v>
      </c>
      <c r="D9" s="88">
        <v>82</v>
      </c>
      <c r="E9" s="88">
        <v>99.51</v>
      </c>
    </row>
    <row r="10" spans="2:5" x14ac:dyDescent="0.55000000000000004">
      <c r="B10" s="44">
        <v>40</v>
      </c>
      <c r="C10" s="88">
        <v>108.63</v>
      </c>
      <c r="D10" s="88">
        <v>128.80000000000001</v>
      </c>
      <c r="E10" s="88">
        <v>154.38</v>
      </c>
    </row>
    <row r="11" spans="2:5" x14ac:dyDescent="0.55000000000000004">
      <c r="B11" s="44">
        <v>55</v>
      </c>
      <c r="C11" s="88">
        <v>168.71</v>
      </c>
      <c r="D11" s="88">
        <v>197.87</v>
      </c>
      <c r="E11" s="88">
        <v>234.62</v>
      </c>
    </row>
    <row r="12" spans="2:5" x14ac:dyDescent="0.55000000000000004">
      <c r="B12" s="44">
        <v>70</v>
      </c>
      <c r="C12" s="88">
        <v>257.49</v>
      </c>
      <c r="D12" s="88">
        <v>299.81</v>
      </c>
      <c r="E12" s="88">
        <v>351.95</v>
      </c>
    </row>
    <row r="13" spans="2:5" x14ac:dyDescent="0.55000000000000004">
      <c r="B13" s="44">
        <v>85</v>
      </c>
      <c r="C13" s="88">
        <v>380.41</v>
      </c>
      <c r="D13" s="88">
        <v>439.7</v>
      </c>
      <c r="E13" s="88">
        <v>512.58000000000004</v>
      </c>
    </row>
    <row r="14" spans="2:5" x14ac:dyDescent="0.55000000000000004">
      <c r="B14" s="44">
        <v>100</v>
      </c>
      <c r="C14" s="88">
        <v>560.53</v>
      </c>
      <c r="D14" s="88">
        <v>643.55999999999995</v>
      </c>
      <c r="E14" s="88">
        <v>745.93</v>
      </c>
    </row>
    <row r="15" spans="2:5" x14ac:dyDescent="0.55000000000000004">
      <c r="B15" s="44">
        <v>105</v>
      </c>
      <c r="C15" s="88">
        <v>633.52</v>
      </c>
      <c r="D15" s="88">
        <v>724.76</v>
      </c>
      <c r="E15" s="88">
        <v>838.18</v>
      </c>
    </row>
    <row r="16" spans="2:5" x14ac:dyDescent="0.55000000000000004">
      <c r="B16" s="44">
        <v>115</v>
      </c>
      <c r="C16" s="88">
        <v>807.55</v>
      </c>
      <c r="D16" s="88">
        <v>923.7</v>
      </c>
      <c r="E16" s="88">
        <v>1067.1600000000001</v>
      </c>
    </row>
    <row r="17" spans="2:5" x14ac:dyDescent="0.55000000000000004">
      <c r="B17" s="44">
        <v>125</v>
      </c>
      <c r="C17" s="88">
        <v>1026.19</v>
      </c>
      <c r="D17" s="88">
        <v>1170.6500000000001</v>
      </c>
      <c r="E17" s="88">
        <v>1350</v>
      </c>
    </row>
    <row r="20" spans="2:5" x14ac:dyDescent="0.55000000000000004">
      <c r="B20" s="45" t="s">
        <v>48</v>
      </c>
    </row>
  </sheetData>
  <mergeCells count="1">
    <mergeCell ref="C2:E2"/>
  </mergeCells>
  <pageMargins left="0.7" right="0.7" top="0.75" bottom="0.75" header="0.3" footer="0.3"/>
  <pageSetup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4BF9E6-2E3A-463D-8926-B999D0B4B8BF}">
  <dimension ref="B3:N27"/>
  <sheetViews>
    <sheetView zoomScale="85" zoomScaleNormal="85" workbookViewId="0">
      <selection activeCell="C15" sqref="C15"/>
    </sheetView>
  </sheetViews>
  <sheetFormatPr defaultColWidth="9" defaultRowHeight="14.4" x14ac:dyDescent="0.55000000000000004"/>
  <cols>
    <col min="1" max="1" width="9" style="1"/>
    <col min="2" max="2" width="12.578125" style="1" customWidth="1"/>
    <col min="3" max="3" width="20.83984375" style="1" customWidth="1"/>
    <col min="4" max="4" width="19.15625" style="1" customWidth="1"/>
    <col min="5" max="6" width="9" style="1"/>
    <col min="7" max="7" width="18.41796875" style="1" customWidth="1"/>
    <col min="8" max="8" width="20.578125" style="1" customWidth="1"/>
    <col min="9" max="9" width="22.68359375" style="1" customWidth="1"/>
    <col min="10" max="11" width="9" style="1" customWidth="1"/>
    <col min="12" max="12" width="6.83984375" style="1" customWidth="1"/>
    <col min="13" max="13" width="13.578125" style="1" customWidth="1"/>
    <col min="14" max="14" width="27.15625" style="1" customWidth="1"/>
    <col min="15" max="15" width="14.41796875" style="1" customWidth="1"/>
    <col min="16" max="16384" width="9" style="1"/>
  </cols>
  <sheetData>
    <row r="3" spans="2:9" ht="33.75" customHeight="1" x14ac:dyDescent="0.55000000000000004">
      <c r="B3" s="98" t="s">
        <v>112</v>
      </c>
      <c r="C3" s="38" t="s">
        <v>45</v>
      </c>
      <c r="D3" s="39" t="s">
        <v>7</v>
      </c>
      <c r="I3" s="46"/>
    </row>
    <row r="4" spans="2:9" ht="22.5" customHeight="1" x14ac:dyDescent="0.55000000000000004">
      <c r="B4" s="124"/>
      <c r="C4" s="41" t="s">
        <v>108</v>
      </c>
      <c r="D4" s="100">
        <v>0.23</v>
      </c>
      <c r="I4" s="46"/>
    </row>
    <row r="5" spans="2:9" ht="21" customHeight="1" x14ac:dyDescent="0.55000000000000004">
      <c r="B5" s="40"/>
      <c r="C5" s="41" t="s">
        <v>24</v>
      </c>
      <c r="D5" s="126">
        <v>0</v>
      </c>
    </row>
    <row r="6" spans="2:9" ht="18.75" customHeight="1" x14ac:dyDescent="0.55000000000000004">
      <c r="B6" s="42"/>
      <c r="C6" s="41" t="s">
        <v>47</v>
      </c>
      <c r="D6" s="100">
        <v>0.39</v>
      </c>
    </row>
    <row r="7" spans="2:9" ht="18.75" customHeight="1" x14ac:dyDescent="0.55000000000000004">
      <c r="B7" s="42"/>
      <c r="C7" s="41" t="s">
        <v>44</v>
      </c>
      <c r="D7" s="100">
        <v>0.62</v>
      </c>
      <c r="I7" s="46"/>
    </row>
    <row r="8" spans="2:9" ht="20.25" customHeight="1" x14ac:dyDescent="0.55000000000000004">
      <c r="B8" s="42"/>
      <c r="C8" s="41" t="s">
        <v>8</v>
      </c>
      <c r="D8" s="100">
        <v>0.78</v>
      </c>
      <c r="I8" s="47"/>
    </row>
    <row r="9" spans="2:9" ht="18.75" customHeight="1" x14ac:dyDescent="0.55000000000000004">
      <c r="B9" s="42"/>
      <c r="C9" s="41" t="s">
        <v>9</v>
      </c>
      <c r="D9" s="100">
        <v>0.89</v>
      </c>
      <c r="I9" s="47"/>
    </row>
    <row r="10" spans="2:9" ht="18" customHeight="1" x14ac:dyDescent="0.7">
      <c r="B10" s="42"/>
      <c r="C10" s="41" t="s">
        <v>10</v>
      </c>
      <c r="D10" s="126">
        <v>1</v>
      </c>
      <c r="I10" s="37"/>
    </row>
    <row r="11" spans="2:9" ht="21" customHeight="1" x14ac:dyDescent="0.7">
      <c r="B11" s="43"/>
      <c r="C11" s="41" t="s">
        <v>46</v>
      </c>
      <c r="D11" s="125">
        <v>1.1000000000000001</v>
      </c>
      <c r="I11" s="37"/>
    </row>
    <row r="12" spans="2:9" ht="18.3" x14ac:dyDescent="0.7">
      <c r="H12" s="37"/>
      <c r="I12" s="37"/>
    </row>
    <row r="13" spans="2:9" ht="18.3" x14ac:dyDescent="0.7">
      <c r="H13" s="37"/>
      <c r="I13" s="37"/>
    </row>
    <row r="16" spans="2:9" x14ac:dyDescent="0.55000000000000004">
      <c r="B16" s="129" t="s">
        <v>117</v>
      </c>
      <c r="C16" s="130"/>
      <c r="D16" s="131"/>
      <c r="E16" s="131"/>
      <c r="F16" s="131"/>
      <c r="G16" s="131"/>
      <c r="H16" s="131"/>
      <c r="I16" s="132"/>
    </row>
    <row r="17" spans="2:14" ht="16.8" x14ac:dyDescent="0.75">
      <c r="B17" s="84" t="s">
        <v>118</v>
      </c>
      <c r="C17" s="131" t="s">
        <v>126</v>
      </c>
      <c r="D17" s="131"/>
      <c r="E17" s="131"/>
      <c r="F17" s="131"/>
      <c r="G17" s="131"/>
      <c r="H17" s="131"/>
      <c r="I17" s="132"/>
    </row>
    <row r="18" spans="2:14" ht="16.8" x14ac:dyDescent="0.75">
      <c r="B18" s="84" t="s">
        <v>119</v>
      </c>
      <c r="C18" s="131" t="s">
        <v>132</v>
      </c>
      <c r="D18" s="131"/>
      <c r="E18" s="131"/>
      <c r="F18" s="131"/>
      <c r="G18" s="131"/>
      <c r="H18" s="131"/>
      <c r="I18" s="132"/>
    </row>
    <row r="19" spans="2:14" ht="16.8" x14ac:dyDescent="0.75">
      <c r="B19" s="84" t="s">
        <v>120</v>
      </c>
      <c r="C19" s="131" t="s">
        <v>131</v>
      </c>
      <c r="D19" s="131"/>
      <c r="E19" s="131"/>
      <c r="F19" s="131"/>
      <c r="G19" s="131"/>
      <c r="H19" s="131"/>
      <c r="I19" s="132"/>
    </row>
    <row r="20" spans="2:14" ht="16.8" x14ac:dyDescent="0.75">
      <c r="B20" s="84" t="s">
        <v>121</v>
      </c>
      <c r="C20" s="131" t="s">
        <v>130</v>
      </c>
      <c r="D20" s="131"/>
      <c r="E20" s="131"/>
      <c r="F20" s="131"/>
      <c r="G20" s="131"/>
      <c r="H20" s="131"/>
      <c r="I20" s="132"/>
    </row>
    <row r="21" spans="2:14" ht="16.8" x14ac:dyDescent="0.75">
      <c r="B21" s="84" t="s">
        <v>122</v>
      </c>
      <c r="C21" s="131" t="s">
        <v>129</v>
      </c>
      <c r="D21" s="131"/>
      <c r="E21" s="131"/>
      <c r="F21" s="131"/>
      <c r="G21" s="131"/>
      <c r="H21" s="131"/>
      <c r="I21" s="132"/>
    </row>
    <row r="22" spans="2:14" ht="16.8" x14ac:dyDescent="0.75">
      <c r="B22" s="84" t="s">
        <v>123</v>
      </c>
      <c r="C22" s="131" t="s">
        <v>128</v>
      </c>
      <c r="D22" s="131"/>
      <c r="E22" s="131"/>
      <c r="F22" s="131"/>
      <c r="G22" s="131"/>
      <c r="H22" s="131"/>
      <c r="I22" s="132"/>
    </row>
    <row r="23" spans="2:14" ht="16.8" x14ac:dyDescent="0.75">
      <c r="B23" s="84" t="s">
        <v>124</v>
      </c>
      <c r="C23" s="131" t="s">
        <v>127</v>
      </c>
      <c r="D23" s="131"/>
      <c r="E23" s="131"/>
      <c r="F23" s="131"/>
      <c r="G23" s="131"/>
      <c r="H23" s="131"/>
      <c r="I23" s="132"/>
    </row>
    <row r="27" spans="2:14" x14ac:dyDescent="0.55000000000000004">
      <c r="M27" s="198"/>
      <c r="N27" s="198"/>
    </row>
  </sheetData>
  <mergeCells count="1">
    <mergeCell ref="M27:N27"/>
  </mergeCells>
  <pageMargins left="0.7" right="0.7" top="0.75" bottom="0.75" header="0.3" footer="0.3"/>
  <pageSetup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C35D5F-C4DA-45B6-92DC-691E7F1B8D8D}">
  <dimension ref="C3:I10"/>
  <sheetViews>
    <sheetView topLeftCell="A2" zoomScale="85" zoomScaleNormal="85" workbookViewId="0">
      <selection activeCell="J7" sqref="J7"/>
    </sheetView>
  </sheetViews>
  <sheetFormatPr defaultColWidth="9" defaultRowHeight="14.4" x14ac:dyDescent="0.55000000000000004"/>
  <cols>
    <col min="1" max="2" width="9" style="1"/>
    <col min="3" max="3" width="17" style="1" customWidth="1"/>
    <col min="4" max="5" width="21.26171875" style="1" customWidth="1"/>
    <col min="6" max="8" width="9" style="1"/>
    <col min="9" max="9" width="52" style="1" customWidth="1"/>
    <col min="10" max="16384" width="9" style="1"/>
  </cols>
  <sheetData>
    <row r="3" spans="3:9" ht="32.4" x14ac:dyDescent="0.55000000000000004">
      <c r="C3" s="68" t="s">
        <v>30</v>
      </c>
      <c r="D3" s="68" t="s">
        <v>87</v>
      </c>
      <c r="E3" s="68" t="s">
        <v>106</v>
      </c>
      <c r="F3" s="199" t="s">
        <v>28</v>
      </c>
      <c r="G3" s="200"/>
      <c r="H3" s="200"/>
      <c r="I3" s="201"/>
    </row>
    <row r="4" spans="3:9" ht="140.65" customHeight="1" x14ac:dyDescent="0.55000000000000004">
      <c r="C4" s="68" t="s">
        <v>111</v>
      </c>
      <c r="D4" s="83">
        <v>130</v>
      </c>
      <c r="E4" s="109">
        <v>4636</v>
      </c>
      <c r="F4" s="202" t="s">
        <v>134</v>
      </c>
      <c r="G4" s="203"/>
      <c r="H4" s="203"/>
      <c r="I4" s="204"/>
    </row>
    <row r="5" spans="3:9" ht="133.9" customHeight="1" x14ac:dyDescent="0.55000000000000004">
      <c r="C5" s="68" t="s">
        <v>22</v>
      </c>
      <c r="D5" s="83">
        <v>67.3</v>
      </c>
      <c r="E5" s="109">
        <v>2436</v>
      </c>
      <c r="F5" s="202" t="s">
        <v>133</v>
      </c>
      <c r="G5" s="203"/>
      <c r="H5" s="203"/>
      <c r="I5" s="204"/>
    </row>
    <row r="6" spans="3:9" ht="91.9" customHeight="1" x14ac:dyDescent="0.55000000000000004">
      <c r="C6" s="68" t="s">
        <v>23</v>
      </c>
      <c r="D6" s="83">
        <v>19</v>
      </c>
      <c r="E6" s="109">
        <v>328</v>
      </c>
      <c r="F6" s="202" t="s">
        <v>110</v>
      </c>
      <c r="G6" s="203"/>
      <c r="H6" s="203"/>
      <c r="I6" s="204"/>
    </row>
    <row r="10" spans="3:9" x14ac:dyDescent="0.55000000000000004">
      <c r="C10" s="45"/>
    </row>
  </sheetData>
  <mergeCells count="4">
    <mergeCell ref="F3:I3"/>
    <mergeCell ref="F4:I4"/>
    <mergeCell ref="F5:I5"/>
    <mergeCell ref="F6:I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9B9D7-0BEC-4D25-9E98-CDEB8DD0EDAE}">
  <dimension ref="B3:C7"/>
  <sheetViews>
    <sheetView zoomScaleNormal="100" workbookViewId="0">
      <selection activeCell="C7" sqref="C7"/>
    </sheetView>
  </sheetViews>
  <sheetFormatPr defaultColWidth="9" defaultRowHeight="14.4" x14ac:dyDescent="0.55000000000000004"/>
  <cols>
    <col min="1" max="1" width="9" style="1"/>
    <col min="2" max="2" width="32.578125" style="1" customWidth="1"/>
    <col min="3" max="3" width="18" style="1" customWidth="1"/>
    <col min="4" max="4" width="11.41796875" style="1" customWidth="1"/>
    <col min="5" max="5" width="11.15625" style="1" customWidth="1"/>
    <col min="6" max="16384" width="9" style="1"/>
  </cols>
  <sheetData>
    <row r="3" spans="2:3" ht="31.2" x14ac:dyDescent="0.55000000000000004">
      <c r="B3" s="67" t="s">
        <v>36</v>
      </c>
      <c r="C3" s="68" t="s">
        <v>50</v>
      </c>
    </row>
    <row r="4" spans="2:3" x14ac:dyDescent="0.55000000000000004">
      <c r="B4" s="84" t="s">
        <v>101</v>
      </c>
      <c r="C4" s="43">
        <v>156.5</v>
      </c>
    </row>
    <row r="6" spans="2:3" ht="31.2" x14ac:dyDescent="0.55000000000000004">
      <c r="B6" s="67" t="s">
        <v>37</v>
      </c>
      <c r="C6" s="68" t="s">
        <v>51</v>
      </c>
    </row>
    <row r="7" spans="2:3" x14ac:dyDescent="0.55000000000000004">
      <c r="B7" s="84" t="s">
        <v>101</v>
      </c>
      <c r="C7" s="43">
        <v>42.6</v>
      </c>
    </row>
  </sheetData>
  <pageMargins left="0.7" right="0.7" top="0.75" bottom="0.75" header="0.3" footer="0.3"/>
  <pageSetup orientation="portrait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C2:M29"/>
  <sheetViews>
    <sheetView showGridLines="0" topLeftCell="A8" zoomScale="70" zoomScaleNormal="70" workbookViewId="0">
      <selection activeCell="E27" sqref="E27"/>
    </sheetView>
  </sheetViews>
  <sheetFormatPr defaultRowHeight="14.4" x14ac:dyDescent="0.55000000000000004"/>
  <cols>
    <col min="1" max="1" width="4.26171875" customWidth="1"/>
    <col min="2" max="2" width="3.83984375" customWidth="1"/>
    <col min="3" max="3" width="21.68359375" customWidth="1"/>
    <col min="4" max="4" width="20" customWidth="1"/>
    <col min="5" max="5" width="17.578125" customWidth="1"/>
    <col min="6" max="6" width="17.83984375" customWidth="1"/>
    <col min="7" max="7" width="9.26171875" customWidth="1"/>
    <col min="8" max="8" width="15.26171875" customWidth="1"/>
    <col min="9" max="9" width="9.68359375" bestFit="1" customWidth="1"/>
    <col min="10" max="10" width="22" customWidth="1"/>
    <col min="11" max="12" width="13.578125" customWidth="1"/>
    <col min="13" max="13" width="68.578125" customWidth="1"/>
    <col min="14" max="14" width="2.578125" customWidth="1"/>
    <col min="15" max="15" width="23" bestFit="1" customWidth="1"/>
  </cols>
  <sheetData>
    <row r="2" spans="3:13" x14ac:dyDescent="0.55000000000000004">
      <c r="C2" s="52" t="s">
        <v>29</v>
      </c>
      <c r="D2" s="52"/>
      <c r="E2" s="52"/>
      <c r="F2" s="52"/>
      <c r="G2" s="52"/>
    </row>
    <row r="3" spans="3:13" x14ac:dyDescent="0.55000000000000004">
      <c r="C3" s="53" t="s">
        <v>32</v>
      </c>
      <c r="D3" s="53"/>
      <c r="E3" s="53"/>
      <c r="F3" s="53"/>
      <c r="G3" s="53"/>
    </row>
    <row r="5" spans="3:13" ht="20.399999999999999" x14ac:dyDescent="0.8">
      <c r="C5" s="54" t="s">
        <v>55</v>
      </c>
    </row>
    <row r="6" spans="3:13" ht="15.6" x14ac:dyDescent="0.6">
      <c r="C6" s="54"/>
    </row>
    <row r="7" spans="3:13" ht="15.6" x14ac:dyDescent="0.6">
      <c r="C7" s="54" t="s">
        <v>66</v>
      </c>
    </row>
    <row r="8" spans="3:13" ht="14.7" thickBot="1" x14ac:dyDescent="0.6"/>
    <row r="9" spans="3:13" ht="31.5" thickBot="1" x14ac:dyDescent="0.6">
      <c r="C9" s="90" t="s">
        <v>20</v>
      </c>
      <c r="D9" s="91" t="s">
        <v>19</v>
      </c>
      <c r="E9" s="91" t="s">
        <v>18</v>
      </c>
      <c r="F9" s="91" t="s">
        <v>88</v>
      </c>
      <c r="G9" s="91" t="s">
        <v>17</v>
      </c>
      <c r="H9" s="91" t="s">
        <v>90</v>
      </c>
      <c r="I9" s="91" t="s">
        <v>89</v>
      </c>
      <c r="J9" s="91" t="s">
        <v>91</v>
      </c>
      <c r="K9" s="92" t="s">
        <v>95</v>
      </c>
      <c r="L9" s="96" t="s">
        <v>96</v>
      </c>
      <c r="M9" s="93" t="s">
        <v>28</v>
      </c>
    </row>
    <row r="10" spans="3:13" ht="27.75" customHeight="1" x14ac:dyDescent="0.55000000000000004">
      <c r="C10" s="51" t="s">
        <v>56</v>
      </c>
      <c r="D10" s="21">
        <v>31250000</v>
      </c>
      <c r="E10" s="22">
        <v>16</v>
      </c>
      <c r="F10" s="21">
        <v>3E-11</v>
      </c>
      <c r="G10" s="23">
        <v>0.25</v>
      </c>
      <c r="H10" s="24">
        <v>1</v>
      </c>
      <c r="I10" s="24">
        <f>'Power Estimation'!$G$38</f>
        <v>3.3</v>
      </c>
      <c r="J10" s="94">
        <f>'Power Estimation'!$G$46</f>
        <v>1.8</v>
      </c>
      <c r="K10" s="25">
        <v>40.838000000000001</v>
      </c>
      <c r="L10" s="95">
        <f t="shared" ref="L10:L17" si="0">(IF(D10&lt;=($D$27*1000000),$E$27,IF(AND(D10&gt;($C$28*1000000),D10&lt;=($D$28*1000000)),$E$28,$E$29)))*E10*J10</f>
        <v>11.520000000000001</v>
      </c>
      <c r="M10" s="89" t="s">
        <v>67</v>
      </c>
    </row>
    <row r="11" spans="3:13" ht="17.649999999999999" customHeight="1" x14ac:dyDescent="0.55000000000000004">
      <c r="C11" s="51" t="s">
        <v>57</v>
      </c>
      <c r="D11" s="21">
        <v>62500000</v>
      </c>
      <c r="E11" s="22">
        <v>8</v>
      </c>
      <c r="F11" s="21">
        <v>3E-11</v>
      </c>
      <c r="G11" s="23">
        <v>1</v>
      </c>
      <c r="H11" s="24">
        <v>1</v>
      </c>
      <c r="I11" s="24">
        <f>'Power Estimation'!$G$38</f>
        <v>3.3</v>
      </c>
      <c r="J11" s="94">
        <f>'Power Estimation'!$G$46</f>
        <v>1.8</v>
      </c>
      <c r="K11" s="25">
        <f t="shared" ref="K11:K17" si="1">(I11^2) * F11 * (D11) * (E11*G11) * H11 * 1000</f>
        <v>163.35</v>
      </c>
      <c r="L11" s="95">
        <f t="shared" si="0"/>
        <v>11.520000000000001</v>
      </c>
      <c r="M11" s="89" t="s">
        <v>85</v>
      </c>
    </row>
    <row r="12" spans="3:13" ht="18.75" customHeight="1" x14ac:dyDescent="0.55000000000000004">
      <c r="C12" s="51" t="s">
        <v>58</v>
      </c>
      <c r="D12" s="21">
        <v>31250000</v>
      </c>
      <c r="E12" s="22">
        <v>4</v>
      </c>
      <c r="F12" s="21">
        <v>3E-11</v>
      </c>
      <c r="G12" s="23">
        <v>0.25</v>
      </c>
      <c r="H12" s="24">
        <v>1</v>
      </c>
      <c r="I12" s="24">
        <f>'Power Estimation'!$G$38</f>
        <v>3.3</v>
      </c>
      <c r="J12" s="94">
        <f>'Power Estimation'!$G$46</f>
        <v>1.8</v>
      </c>
      <c r="K12" s="25">
        <f>(I12^2) * F12 * (D12) * (E12*G12) * H12 * 1000</f>
        <v>10.209375</v>
      </c>
      <c r="L12" s="95">
        <f t="shared" si="0"/>
        <v>2.8800000000000003</v>
      </c>
      <c r="M12" s="89" t="s">
        <v>64</v>
      </c>
    </row>
    <row r="13" spans="3:13" ht="18.399999999999999" customHeight="1" x14ac:dyDescent="0.55000000000000004">
      <c r="C13" s="51" t="s">
        <v>59</v>
      </c>
      <c r="D13" s="21">
        <v>62500000</v>
      </c>
      <c r="E13" s="22">
        <v>1</v>
      </c>
      <c r="F13" s="21">
        <v>3E-11</v>
      </c>
      <c r="G13" s="23">
        <v>1</v>
      </c>
      <c r="H13" s="24">
        <v>1</v>
      </c>
      <c r="I13" s="24">
        <f>'Power Estimation'!$G$38</f>
        <v>3.3</v>
      </c>
      <c r="J13" s="94">
        <f>'Power Estimation'!$G$46</f>
        <v>1.8</v>
      </c>
      <c r="K13" s="25">
        <f t="shared" si="1"/>
        <v>20.418749999999999</v>
      </c>
      <c r="L13" s="95">
        <f t="shared" si="0"/>
        <v>1.4400000000000002</v>
      </c>
      <c r="M13" s="89" t="s">
        <v>85</v>
      </c>
    </row>
    <row r="14" spans="3:13" x14ac:dyDescent="0.55000000000000004">
      <c r="C14" s="51" t="s">
        <v>60</v>
      </c>
      <c r="D14" s="21">
        <v>31250000</v>
      </c>
      <c r="E14" s="22">
        <v>4</v>
      </c>
      <c r="F14" s="21">
        <v>3E-11</v>
      </c>
      <c r="G14" s="23">
        <v>0.25</v>
      </c>
      <c r="H14" s="24">
        <v>1</v>
      </c>
      <c r="I14" s="24">
        <f>'Power Estimation'!$G$38</f>
        <v>3.3</v>
      </c>
      <c r="J14" s="94">
        <f>'Power Estimation'!$G$46</f>
        <v>1.8</v>
      </c>
      <c r="K14" s="25">
        <f t="shared" si="1"/>
        <v>10.209375</v>
      </c>
      <c r="L14" s="95">
        <f t="shared" si="0"/>
        <v>2.8800000000000003</v>
      </c>
      <c r="M14" s="89" t="s">
        <v>64</v>
      </c>
    </row>
    <row r="15" spans="3:13" x14ac:dyDescent="0.55000000000000004">
      <c r="C15" s="51" t="s">
        <v>61</v>
      </c>
      <c r="D15" s="21">
        <v>62500000</v>
      </c>
      <c r="E15" s="22">
        <v>1</v>
      </c>
      <c r="F15" s="21">
        <v>3E-11</v>
      </c>
      <c r="G15" s="23">
        <v>1</v>
      </c>
      <c r="H15" s="24">
        <v>1</v>
      </c>
      <c r="I15" s="24">
        <f>'Power Estimation'!$G$38</f>
        <v>3.3</v>
      </c>
      <c r="J15" s="94">
        <f>'Power Estimation'!$G$46</f>
        <v>1.8</v>
      </c>
      <c r="K15" s="25">
        <f t="shared" si="1"/>
        <v>20.418749999999999</v>
      </c>
      <c r="L15" s="95">
        <f t="shared" si="0"/>
        <v>1.4400000000000002</v>
      </c>
      <c r="M15" s="89" t="s">
        <v>85</v>
      </c>
    </row>
    <row r="16" spans="3:13" x14ac:dyDescent="0.55000000000000004">
      <c r="C16" s="51" t="s">
        <v>62</v>
      </c>
      <c r="D16" s="21">
        <v>31250000</v>
      </c>
      <c r="E16" s="22">
        <v>2</v>
      </c>
      <c r="F16" s="21">
        <v>3E-11</v>
      </c>
      <c r="G16" s="23">
        <v>0.25</v>
      </c>
      <c r="H16" s="24">
        <v>1</v>
      </c>
      <c r="I16" s="24">
        <f>'Power Estimation'!$G$38</f>
        <v>3.3</v>
      </c>
      <c r="J16" s="94">
        <f>'Power Estimation'!$G$46</f>
        <v>1.8</v>
      </c>
      <c r="K16" s="25">
        <f t="shared" si="1"/>
        <v>5.1046874999999998</v>
      </c>
      <c r="L16" s="95">
        <f t="shared" si="0"/>
        <v>1.4400000000000002</v>
      </c>
      <c r="M16" s="89" t="s">
        <v>65</v>
      </c>
    </row>
    <row r="17" spans="3:13" x14ac:dyDescent="0.55000000000000004">
      <c r="C17" s="51" t="s">
        <v>63</v>
      </c>
      <c r="D17" s="21">
        <v>62500000</v>
      </c>
      <c r="E17" s="22">
        <v>1</v>
      </c>
      <c r="F17" s="21">
        <v>3E-11</v>
      </c>
      <c r="G17" s="23">
        <v>1</v>
      </c>
      <c r="H17" s="24">
        <v>1</v>
      </c>
      <c r="I17" s="24">
        <f>'Power Estimation'!$G$38</f>
        <v>3.3</v>
      </c>
      <c r="J17" s="94">
        <f>'Power Estimation'!$G$46</f>
        <v>1.8</v>
      </c>
      <c r="K17" s="25">
        <f t="shared" si="1"/>
        <v>20.418749999999999</v>
      </c>
      <c r="L17" s="95">
        <f t="shared" si="0"/>
        <v>1.4400000000000002</v>
      </c>
      <c r="M17" s="89" t="s">
        <v>85</v>
      </c>
    </row>
    <row r="18" spans="3:13" x14ac:dyDescent="0.55000000000000004">
      <c r="C18" s="51"/>
      <c r="D18" s="21"/>
      <c r="E18" s="22"/>
      <c r="F18" s="21"/>
      <c r="G18" s="23"/>
      <c r="H18" s="24"/>
      <c r="I18" s="24"/>
      <c r="J18" s="94"/>
      <c r="K18" s="25"/>
      <c r="L18" s="64"/>
      <c r="M18" s="75"/>
    </row>
    <row r="19" spans="3:13" ht="23.65" customHeight="1" x14ac:dyDescent="0.55000000000000004">
      <c r="C19" s="58"/>
      <c r="D19" s="59"/>
      <c r="E19" s="59"/>
      <c r="F19" s="59"/>
      <c r="G19" s="59"/>
      <c r="H19" s="59"/>
      <c r="I19" s="59"/>
      <c r="J19" s="59"/>
      <c r="K19" s="62"/>
      <c r="L19" s="64"/>
      <c r="M19" s="55"/>
    </row>
    <row r="20" spans="3:13" ht="19.899999999999999" customHeight="1" thickBot="1" x14ac:dyDescent="0.6">
      <c r="C20" s="60"/>
      <c r="D20" s="61"/>
      <c r="E20" s="61"/>
      <c r="F20" s="61"/>
      <c r="G20" s="61"/>
      <c r="H20" s="61"/>
      <c r="I20" s="61"/>
      <c r="J20" s="61"/>
      <c r="K20" s="63"/>
      <c r="L20" s="66"/>
      <c r="M20" s="56"/>
    </row>
    <row r="21" spans="3:13" ht="18.399999999999999" customHeight="1" thickBot="1" x14ac:dyDescent="0.6"/>
    <row r="22" spans="3:13" ht="18.75" customHeight="1" thickBot="1" x14ac:dyDescent="0.8">
      <c r="G22" s="7" t="s">
        <v>70</v>
      </c>
      <c r="K22" s="57">
        <f>SUM(K10:K20)</f>
        <v>290.96768749999995</v>
      </c>
    </row>
    <row r="23" spans="3:13" ht="20.25" customHeight="1" thickBot="1" x14ac:dyDescent="0.8">
      <c r="C23" s="8"/>
      <c r="D23" s="8"/>
      <c r="E23" s="8"/>
      <c r="G23" s="7" t="s">
        <v>71</v>
      </c>
      <c r="K23" s="65">
        <f>SUM(L10:L20) + ('Power Estimation'!G46*(5+18))</f>
        <v>75.960000000000008</v>
      </c>
      <c r="L23" s="7"/>
    </row>
    <row r="24" spans="3:13" ht="15.6" x14ac:dyDescent="0.6">
      <c r="C24" s="54"/>
      <c r="D24" s="54"/>
      <c r="E24" s="54"/>
      <c r="F24" s="54"/>
      <c r="G24" s="54"/>
      <c r="H24" s="54"/>
      <c r="I24" s="54"/>
      <c r="J24" s="54"/>
    </row>
    <row r="25" spans="3:13" ht="24.75" customHeight="1" x14ac:dyDescent="0.75">
      <c r="C25" s="7" t="s">
        <v>69</v>
      </c>
      <c r="D25" s="7"/>
      <c r="F25" s="54"/>
      <c r="G25" s="54"/>
      <c r="H25" s="54"/>
      <c r="I25" s="54"/>
      <c r="J25" s="54"/>
    </row>
    <row r="26" spans="3:13" ht="45" customHeight="1" x14ac:dyDescent="0.6">
      <c r="C26" s="97" t="s">
        <v>97</v>
      </c>
      <c r="D26" s="97" t="s">
        <v>98</v>
      </c>
      <c r="E26" s="50" t="s">
        <v>54</v>
      </c>
      <c r="F26" s="54"/>
      <c r="G26" s="54"/>
    </row>
    <row r="27" spans="3:13" ht="15.6" x14ac:dyDescent="0.6">
      <c r="C27" s="49">
        <v>0</v>
      </c>
      <c r="D27" s="49">
        <v>32</v>
      </c>
      <c r="E27" s="49">
        <v>0.4</v>
      </c>
      <c r="F27" s="54"/>
      <c r="G27" s="54"/>
    </row>
    <row r="28" spans="3:13" ht="19.899999999999999" customHeight="1" x14ac:dyDescent="0.6">
      <c r="C28" s="49">
        <v>32</v>
      </c>
      <c r="D28" s="49">
        <v>63</v>
      </c>
      <c r="E28" s="49">
        <v>0.8</v>
      </c>
      <c r="F28" s="54"/>
      <c r="G28" s="54"/>
    </row>
    <row r="29" spans="3:13" ht="15.6" x14ac:dyDescent="0.6">
      <c r="C29" s="49">
        <v>63</v>
      </c>
      <c r="D29" s="49">
        <v>125</v>
      </c>
      <c r="E29" s="49">
        <v>1.1000000000000001</v>
      </c>
      <c r="F29" s="54"/>
      <c r="G29" s="54"/>
    </row>
  </sheetData>
  <pageMargins left="0.7" right="0.7" top="0.75" bottom="0.75" header="0.3" footer="0.3"/>
  <pageSetup orientation="portrait" horizontalDpi="4294967293" verticalDpi="4294967293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59BBC8065112C478F9E633E8E95644F" ma:contentTypeVersion="18" ma:contentTypeDescription="Create a new document." ma:contentTypeScope="" ma:versionID="9f276311393609fe7874d6a0861702c5">
  <xsd:schema xmlns:xsd="http://www.w3.org/2001/XMLSchema" xmlns:xs="http://www.w3.org/2001/XMLSchema" xmlns:p="http://schemas.microsoft.com/office/2006/metadata/properties" xmlns:ns3="c8de556b-f231-4272-ad42-9bf3af020c18" xmlns:ns4="7def4384-47a4-43a0-b89e-1e127f9bb5d9" targetNamespace="http://schemas.microsoft.com/office/2006/metadata/properties" ma:root="true" ma:fieldsID="15c63cc9ce3b3193b54046a82e2f2a20" ns3:_="" ns4:_="">
    <xsd:import namespace="c8de556b-f231-4272-ad42-9bf3af020c18"/>
    <xsd:import namespace="7def4384-47a4-43a0-b89e-1e127f9bb5d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Location" minOccurs="0"/>
                <xsd:element ref="ns3:MediaLengthInSeconds" minOccurs="0"/>
                <xsd:element ref="ns3:_activity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8de556b-f231-4272-ad42-9bf3af020c1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_activity" ma:index="22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ef4384-47a4-43a0-b89e-1e127f9bb5d9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9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c8de556b-f231-4272-ad42-9bf3af020c18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DAEAFC5-B6AF-4794-8028-518D8041174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8de556b-f231-4272-ad42-9bf3af020c18"/>
    <ds:schemaRef ds:uri="7def4384-47a4-43a0-b89e-1e127f9bb5d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CE2F5CE-0F52-4CAB-A60E-94B090AB5362}">
  <ds:schemaRefs>
    <ds:schemaRef ds:uri="http://purl.org/dc/terms/"/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2006/documentManagement/types"/>
    <ds:schemaRef ds:uri="http://schemas.microsoft.com/office/2006/metadata/properties"/>
    <ds:schemaRef ds:uri="7def4384-47a4-43a0-b89e-1e127f9bb5d9"/>
    <ds:schemaRef ds:uri="http://www.w3.org/XML/1998/namespace"/>
    <ds:schemaRef ds:uri="http://schemas.microsoft.com/office/infopath/2007/PartnerControls"/>
    <ds:schemaRef ds:uri="c8de556b-f231-4272-ad42-9bf3af020c18"/>
  </ds:schemaRefs>
</ds:datastoreItem>
</file>

<file path=customXml/itemProps3.xml><?xml version="1.0" encoding="utf-8"?>
<ds:datastoreItem xmlns:ds="http://schemas.openxmlformats.org/officeDocument/2006/customXml" ds:itemID="{DD985F53-34FF-4072-9F79-7E86EE41F46E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eaa689b4-8f87-40e0-9c6f-7228de4d754a}" enabled="0" method="" siteId="{eaa689b4-8f87-40e0-9c6f-7228de4d754a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Power Estimation</vt:lpstr>
      <vt:lpstr>VDD_INT Static Current</vt:lpstr>
      <vt:lpstr>VDD_INT CORE ASF</vt:lpstr>
      <vt:lpstr>VDD_INT DMA Usage</vt:lpstr>
      <vt:lpstr>VDD_INT Accelerators</vt:lpstr>
      <vt:lpstr>VDD_EXT &amp; VDD_REF Power</vt:lpstr>
      <vt:lpstr>FFT</vt:lpstr>
    </vt:vector>
  </TitlesOfParts>
  <Company>Analog Devices,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Chitneedi, Tejaswi</cp:lastModifiedBy>
  <dcterms:created xsi:type="dcterms:W3CDTF">2015-03-16T11:38:51Z</dcterms:created>
  <dcterms:modified xsi:type="dcterms:W3CDTF">2025-02-14T10:29:12Z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0x010100959BBC8065112C478F9E633E8E95644F</vt:lpwstr>
  </property>
</Properties>
</file>