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dhuchaia\OneDrive - Analog Devices, Inc\Desktop\Docs\GLXP_Docs\APP note\GLXP EE-387\GLXP docs\GLXP DMC programming guidelines app note\GLXP\"/>
    </mc:Choice>
  </mc:AlternateContent>
  <xr:revisionPtr revIDLastSave="0" documentId="13_ncr:1_{9B75B635-6F3B-4267-A235-959E3F9EA1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DR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8" i="1" l="1"/>
  <c r="B74" i="1"/>
  <c r="B64" i="1"/>
  <c r="B80" i="1" s="1"/>
  <c r="B58" i="1"/>
  <c r="D16" i="1"/>
  <c r="O47" i="1" s="1"/>
  <c r="H12" i="1"/>
  <c r="H13" i="1"/>
  <c r="H14" i="1"/>
  <c r="H15" i="1"/>
  <c r="H16" i="1"/>
  <c r="G32" i="1"/>
  <c r="B31" i="1" s="1"/>
  <c r="D26" i="1"/>
  <c r="AE56" i="1" s="1"/>
  <c r="D20" i="1"/>
  <c r="D21" i="1"/>
  <c r="AB53" i="1" s="1"/>
  <c r="D24" i="1"/>
  <c r="D5" i="1"/>
  <c r="D3" i="1"/>
  <c r="X35" i="1" s="1"/>
  <c r="D2" i="1"/>
  <c r="D10" i="1" s="1"/>
  <c r="D11" i="1" l="1"/>
  <c r="D6" i="1"/>
  <c r="G25" i="1"/>
  <c r="D4" i="1"/>
  <c r="Z35" i="1"/>
  <c r="D7" i="1"/>
  <c r="R41" i="1" s="1"/>
  <c r="D8" i="1"/>
  <c r="I41" i="1" s="1"/>
  <c r="E25" i="1"/>
  <c r="D25" i="1"/>
  <c r="W38" i="1" l="1"/>
  <c r="X38" i="1"/>
  <c r="Y38" i="1"/>
  <c r="F25" i="1"/>
  <c r="B37" i="1" l="1"/>
  <c r="B67" i="1"/>
  <c r="B81" i="1" s="1"/>
  <c r="AE53" i="1" l="1"/>
  <c r="AD53" i="1"/>
  <c r="Y53" i="1" l="1"/>
  <c r="AF53" i="1"/>
  <c r="AG53" i="1"/>
  <c r="AC53" i="1"/>
  <c r="D23" i="1" l="1"/>
  <c r="X62" i="1" s="1"/>
  <c r="D22" i="1"/>
  <c r="AF62" i="1" s="1"/>
  <c r="Z62" i="1" l="1"/>
  <c r="AG62" i="1"/>
  <c r="U62" i="1"/>
  <c r="V62" i="1"/>
  <c r="AC62" i="1"/>
  <c r="Y62" i="1"/>
  <c r="AD62" i="1"/>
  <c r="AH62" i="1"/>
  <c r="AE62" i="1"/>
  <c r="S62" i="1"/>
  <c r="W62" i="1"/>
  <c r="AA62" i="1"/>
  <c r="AB62" i="1"/>
  <c r="T62" i="1"/>
  <c r="D18" i="1" l="1"/>
  <c r="AD50" i="1" l="1"/>
  <c r="AF50" i="1"/>
  <c r="AD56" i="1"/>
  <c r="AC56" i="1"/>
  <c r="AC50" i="1"/>
  <c r="AB50" i="1"/>
  <c r="L62" i="1" l="1"/>
  <c r="O62" i="1"/>
  <c r="K62" i="1"/>
  <c r="R62" i="1"/>
  <c r="N62" i="1"/>
  <c r="Q62" i="1"/>
  <c r="M62" i="1"/>
  <c r="P62" i="1"/>
  <c r="B55" i="1"/>
  <c r="B73" i="1" s="1"/>
  <c r="Y35" i="1"/>
  <c r="D15" i="1" l="1"/>
  <c r="F15" i="1" s="1"/>
  <c r="W50" i="1" s="1"/>
  <c r="B61" i="1"/>
  <c r="B79" i="1" s="1"/>
  <c r="D9" i="1"/>
  <c r="D13" i="1"/>
  <c r="J44" i="1"/>
  <c r="W41" i="1"/>
  <c r="D17" i="1"/>
  <c r="D14" i="1"/>
  <c r="D12" i="1"/>
  <c r="W35" i="1"/>
  <c r="AD47" i="1" l="1"/>
  <c r="AC47" i="1"/>
  <c r="B34" i="1"/>
  <c r="B72" i="1" s="1"/>
  <c r="E41" i="1"/>
  <c r="C41" i="1"/>
  <c r="F41" i="1"/>
  <c r="D41" i="1"/>
  <c r="AF47" i="1"/>
  <c r="AE47" i="1"/>
  <c r="AG47" i="1"/>
  <c r="N47" i="1"/>
  <c r="L47" i="1"/>
  <c r="M47" i="1"/>
  <c r="K47" i="1"/>
  <c r="X41" i="1"/>
  <c r="Z41" i="1"/>
  <c r="Y41" i="1"/>
  <c r="W47" i="1"/>
  <c r="X47" i="1"/>
  <c r="Z47" i="1"/>
  <c r="Y47" i="1"/>
  <c r="U41" i="1"/>
  <c r="S41" i="1"/>
  <c r="T41" i="1"/>
  <c r="V41" i="1"/>
  <c r="P44" i="1"/>
  <c r="R44" i="1"/>
  <c r="M44" i="1"/>
  <c r="K44" i="1"/>
  <c r="N44" i="1"/>
  <c r="O44" i="1"/>
  <c r="Q44" i="1"/>
  <c r="L44" i="1"/>
  <c r="D44" i="1"/>
  <c r="E44" i="1"/>
  <c r="F44" i="1"/>
  <c r="AD44" i="1"/>
  <c r="Z44" i="1"/>
  <c r="AE44" i="1"/>
  <c r="AF44" i="1"/>
  <c r="AC44" i="1"/>
  <c r="W44" i="1"/>
  <c r="Y44" i="1"/>
  <c r="U44" i="1"/>
  <c r="V44" i="1"/>
  <c r="AB44" i="1"/>
  <c r="X44" i="1"/>
  <c r="AA44" i="1"/>
  <c r="AG44" i="1"/>
  <c r="L41" i="1"/>
  <c r="N41" i="1"/>
  <c r="J41" i="1"/>
  <c r="M41" i="1"/>
  <c r="K41" i="1"/>
  <c r="Q47" i="1"/>
  <c r="R47" i="1"/>
  <c r="P47" i="1"/>
  <c r="AH47" i="1"/>
  <c r="AH44" i="1"/>
  <c r="AC41" i="1"/>
  <c r="Y50" i="1" l="1"/>
  <c r="X50" i="1"/>
  <c r="B46" i="1"/>
  <c r="B78" i="1" s="1"/>
  <c r="B43" i="1"/>
  <c r="B77" i="1" s="1"/>
  <c r="AD41" i="1"/>
  <c r="AB41" i="1"/>
  <c r="AA41" i="1"/>
  <c r="AG41" i="1"/>
  <c r="AF41" i="1"/>
  <c r="AE41" i="1"/>
  <c r="AH41" i="1"/>
  <c r="B49" i="1" l="1"/>
  <c r="B75" i="1" s="1"/>
  <c r="B40" i="1"/>
  <c r="B76" i="1" s="1"/>
  <c r="B52" i="1"/>
</calcChain>
</file>

<file path=xl/sharedStrings.xml><?xml version="1.0" encoding="utf-8"?>
<sst xmlns="http://schemas.openxmlformats.org/spreadsheetml/2006/main" count="237" uniqueCount="145">
  <si>
    <t>Parameter</t>
  </si>
  <si>
    <t>Value</t>
  </si>
  <si>
    <t>Unit</t>
  </si>
  <si>
    <t>MHz</t>
  </si>
  <si>
    <t>ns</t>
  </si>
  <si>
    <t>CL</t>
  </si>
  <si>
    <t>tCK</t>
  </si>
  <si>
    <t>AL</t>
  </si>
  <si>
    <t>tFAW</t>
  </si>
  <si>
    <t>tRTP</t>
  </si>
  <si>
    <t>tWR</t>
  </si>
  <si>
    <t>tXP</t>
  </si>
  <si>
    <t>tCKE</t>
  </si>
  <si>
    <t>tREF</t>
  </si>
  <si>
    <t>tRFC</t>
  </si>
  <si>
    <t>tRRD</t>
  </si>
  <si>
    <t>tRCD</t>
  </si>
  <si>
    <t>tWTR</t>
  </si>
  <si>
    <t>tRP</t>
  </si>
  <si>
    <t>tRAS</t>
  </si>
  <si>
    <t>tRC</t>
  </si>
  <si>
    <t>tMRD</t>
  </si>
  <si>
    <t>CWL</t>
  </si>
  <si>
    <t>Register  name</t>
  </si>
  <si>
    <t>32 Bit Hex Value</t>
  </si>
  <si>
    <t>DMC_CTL</t>
  </si>
  <si>
    <t>Reserved</t>
  </si>
  <si>
    <t>ZQCL</t>
  </si>
  <si>
    <t>ZQCS</t>
  </si>
  <si>
    <t>DLLCAL</t>
  </si>
  <si>
    <t>PPREF</t>
  </si>
  <si>
    <t>RDTOWR</t>
  </si>
  <si>
    <t>ADDRMODE</t>
  </si>
  <si>
    <t>RESET</t>
  </si>
  <si>
    <t>PREC</t>
  </si>
  <si>
    <t>INIT</t>
  </si>
  <si>
    <t>DDR3EN</t>
  </si>
  <si>
    <t>DMC_CFG</t>
  </si>
  <si>
    <t>EXTBANK</t>
  </si>
  <si>
    <t>SDRSIZE</t>
  </si>
  <si>
    <t>SDRWID</t>
  </si>
  <si>
    <t>IFWID</t>
  </si>
  <si>
    <t>DMC_TR0</t>
  </si>
  <si>
    <t>DMC_TR1</t>
  </si>
  <si>
    <t>DMC_TR2</t>
  </si>
  <si>
    <t>PD</t>
  </si>
  <si>
    <t>WRRECOV</t>
  </si>
  <si>
    <t>DLLRST</t>
  </si>
  <si>
    <t>CL0</t>
  </si>
  <si>
    <t>BLEN</t>
  </si>
  <si>
    <t>QOFF</t>
  </si>
  <si>
    <t>TDQS</t>
  </si>
  <si>
    <t>DIC1</t>
  </si>
  <si>
    <t>DIC0</t>
  </si>
  <si>
    <t>DLLEN</t>
  </si>
  <si>
    <t>SRT</t>
  </si>
  <si>
    <t>ASR</t>
  </si>
  <si>
    <t>IMPRTT</t>
  </si>
  <si>
    <t>IMPWRDQ</t>
  </si>
  <si>
    <t>IMPWRAD</t>
  </si>
  <si>
    <t>RTT2</t>
  </si>
  <si>
    <t>RTT1</t>
  </si>
  <si>
    <t>RTT0</t>
  </si>
  <si>
    <t>SDRAM Size</t>
  </si>
  <si>
    <t>Burst Length</t>
  </si>
  <si>
    <t>CAS Write Latency (CWL)</t>
  </si>
  <si>
    <t>CAS Read Latency (CL)</t>
  </si>
  <si>
    <t>Driver Impedance (Processor-Addess/Command)</t>
  </si>
  <si>
    <t>Driver Impedance (Processor-Data/DQS/CLK/DM)</t>
  </si>
  <si>
    <t>Ohms</t>
  </si>
  <si>
    <t>PASR</t>
  </si>
  <si>
    <t>MB</t>
  </si>
  <si>
    <t>DDR3_MODE</t>
  </si>
  <si>
    <t>Select from the list</t>
  </si>
  <si>
    <t>On Die Termination (Processor)</t>
  </si>
  <si>
    <t>DIC (DDR3)</t>
  </si>
  <si>
    <t>ODT (DDR3)</t>
  </si>
  <si>
    <t>RZQ/4</t>
  </si>
  <si>
    <t>RZQ/2</t>
  </si>
  <si>
    <t>CAS LATENCY (DDR3)</t>
  </si>
  <si>
    <t>Write Recov(DDR3)</t>
  </si>
  <si>
    <t>AL (DDR3)</t>
  </si>
  <si>
    <t>AL Disable</t>
  </si>
  <si>
    <t>CL-1</t>
  </si>
  <si>
    <t>CL-2</t>
  </si>
  <si>
    <t>ODT Disabled</t>
  </si>
  <si>
    <t>DCLK</t>
  </si>
  <si>
    <t>PDREQ</t>
  </si>
  <si>
    <t>SRREQ</t>
  </si>
  <si>
    <t>On Die Termination (Memory)</t>
  </si>
  <si>
    <t xml:space="preserve">Additive Latency (AL) </t>
  </si>
  <si>
    <t>Driver Impedance (Memory)</t>
  </si>
  <si>
    <t>tREFI</t>
  </si>
  <si>
    <t>RZQ/6(40)</t>
  </si>
  <si>
    <t>RZQ/7(34)</t>
  </si>
  <si>
    <t>RZQ/4(60)</t>
  </si>
  <si>
    <t>RZQ/2(120)</t>
  </si>
  <si>
    <t>RZQ/12(20)</t>
  </si>
  <si>
    <t>RZQ/8(30)</t>
  </si>
  <si>
    <t>AL Disabled</t>
  </si>
  <si>
    <t xml:space="preserve">DMC_MR0 </t>
  </si>
  <si>
    <t xml:space="preserve">DMC_MR1 </t>
  </si>
  <si>
    <t xml:space="preserve">DMC_MR2 </t>
  </si>
  <si>
    <t>us</t>
  </si>
  <si>
    <t>RL_DQS</t>
  </si>
  <si>
    <t>Al_EN</t>
  </si>
  <si>
    <t>DMC_DLL_CTL</t>
  </si>
  <si>
    <t>DLLCALRDCNT</t>
  </si>
  <si>
    <t>DATACYC</t>
  </si>
  <si>
    <t>DMC_DDR_ZQ_CTL0</t>
  </si>
  <si>
    <t>DMC_DDR_ZQ_CTL1</t>
  </si>
  <si>
    <t>DMC_DDR_ZQ_CTL2</t>
  </si>
  <si>
    <t>BYPRDPU</t>
  </si>
  <si>
    <t>BYPRDPD</t>
  </si>
  <si>
    <t>PDCAL</t>
  </si>
  <si>
    <t>USEFNBUS</t>
  </si>
  <si>
    <t>BYPIMAD</t>
  </si>
  <si>
    <t>BYPIMDQ</t>
  </si>
  <si>
    <t>BYPIMRD</t>
  </si>
  <si>
    <t>BYPPUADD</t>
  </si>
  <si>
    <t>BYPPDADD</t>
  </si>
  <si>
    <t>BYPPUDQ</t>
  </si>
  <si>
    <t>BYPPDDQ</t>
  </si>
  <si>
    <t>CALTYPE</t>
  </si>
  <si>
    <t>CALSTRT</t>
  </si>
  <si>
    <t>PUCALEN</t>
  </si>
  <si>
    <t>PDCALEN</t>
  </si>
  <si>
    <t>DATA_CYC</t>
  </si>
  <si>
    <t>WL</t>
  </si>
  <si>
    <t>DMC_EMR3</t>
  </si>
  <si>
    <t>MPR</t>
  </si>
  <si>
    <t>MPR_LOC</t>
  </si>
  <si>
    <t>ADI_DMC_CONFIG Structure</t>
  </si>
  <si>
    <t>ulDDR_DLLCTLCFG</t>
  </si>
  <si>
    <t>ulDDR_EMR2EMR3</t>
  </si>
  <si>
    <t>ulDDR_CTL</t>
  </si>
  <si>
    <t>ulDDR_MREMR1</t>
  </si>
  <si>
    <t>ulDDR_TR0</t>
  </si>
  <si>
    <t>ulDDR_TR1</t>
  </si>
  <si>
    <t>ulDDR_TR2</t>
  </si>
  <si>
    <t>ulDDR_ZQCTL0</t>
  </si>
  <si>
    <t>ulDDR_ZQCTL1</t>
  </si>
  <si>
    <t>ulDDR_ZQCTL2</t>
  </si>
  <si>
    <t>32 bit Hex value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</si>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</sst>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2"/>
      </left>
      <right/>
      <top style="medium">
        <color indexed="64"/>
      </top>
      <bottom style="medium">
        <color indexed="64"/>
      </bottom>
      <diagonal/>
    </border>
    <border>
      <left style="thin">
        <color theme="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9.9978637043366805E-2"/>
      </left>
      <right/>
      <top/>
      <bottom/>
      <diagonal/>
    </border>
    <border>
      <left/>
      <right/>
      <top style="thin">
        <color theme="2" tint="-9.9978637043366805E-2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/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7" fillId="2" borderId="33" xfId="0" applyFont="1" applyFill="1" applyBorder="1" applyAlignment="1" applyProtection="1">
      <alignment horizontal="center" vertical="center" wrapText="1"/>
    </xf>
    <xf numFmtId="0" fontId="6" fillId="2" borderId="33" xfId="0" applyFont="1" applyFill="1" applyBorder="1" applyAlignment="1" applyProtection="1">
      <alignment horizontal="center" vertical="center" wrapText="1"/>
    </xf>
    <xf numFmtId="0" fontId="4" fillId="2" borderId="33" xfId="0" applyFont="1" applyFill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33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4" borderId="39" xfId="0" applyFont="1" applyFill="1" applyBorder="1" applyAlignment="1" applyProtection="1">
      <alignment horizontal="center" vertical="center" wrapText="1"/>
      <protection locked="0"/>
    </xf>
    <xf numFmtId="0" fontId="5" fillId="9" borderId="39" xfId="0" applyFont="1" applyFill="1" applyBorder="1" applyAlignment="1" applyProtection="1">
      <alignment horizontal="center" vertical="center" wrapText="1"/>
      <protection locked="0"/>
    </xf>
    <xf numFmtId="0" fontId="5" fillId="8" borderId="39" xfId="0" applyFont="1" applyFill="1" applyBorder="1" applyAlignment="1" applyProtection="1">
      <alignment horizontal="center" vertical="center" wrapText="1"/>
      <protection locked="0"/>
    </xf>
    <xf numFmtId="0" fontId="5" fillId="10" borderId="39" xfId="0" applyFont="1" applyFill="1" applyBorder="1" applyAlignment="1" applyProtection="1">
      <alignment horizontal="center" vertical="center" wrapText="1"/>
      <protection locked="0"/>
    </xf>
    <xf numFmtId="0" fontId="4" fillId="8" borderId="39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7" fillId="7" borderId="20" xfId="0" applyFont="1" applyFill="1" applyBorder="1" applyAlignment="1" applyProtection="1">
      <alignment vertical="center" wrapText="1"/>
    </xf>
    <xf numFmtId="0" fontId="7" fillId="7" borderId="23" xfId="0" applyFont="1" applyFill="1" applyBorder="1" applyAlignment="1" applyProtection="1">
      <alignment vertical="center" wrapText="1"/>
    </xf>
    <xf numFmtId="0" fontId="1" fillId="5" borderId="14" xfId="0" applyFont="1" applyFill="1" applyBorder="1" applyAlignment="1" applyProtection="1">
      <alignment vertical="center" wrapText="1"/>
    </xf>
    <xf numFmtId="0" fontId="1" fillId="5" borderId="16" xfId="0" applyFont="1" applyFill="1" applyBorder="1" applyAlignment="1" applyProtection="1">
      <alignment vertical="center" wrapText="1"/>
    </xf>
    <xf numFmtId="0" fontId="11" fillId="0" borderId="0" xfId="0" applyFont="1" applyFill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wrapText="1"/>
      <protection locked="0"/>
    </xf>
    <xf numFmtId="0" fontId="0" fillId="9" borderId="1" xfId="0" applyFill="1" applyBorder="1" applyAlignment="1" applyProtection="1">
      <alignment horizontal="center" vertical="center" wrapText="1"/>
      <protection locked="0"/>
    </xf>
    <xf numFmtId="0" fontId="0" fillId="9" borderId="42" xfId="0" applyFill="1" applyBorder="1" applyAlignment="1" applyProtection="1">
      <alignment horizontal="center" vertical="center" wrapText="1"/>
      <protection locked="0"/>
    </xf>
    <xf numFmtId="0" fontId="0" fillId="9" borderId="9" xfId="0" applyFill="1" applyBorder="1" applyAlignment="1" applyProtection="1">
      <alignment horizontal="center" vertical="center" wrapText="1"/>
      <protection locked="0"/>
    </xf>
    <xf numFmtId="0" fontId="1" fillId="10" borderId="1" xfId="0" applyFont="1" applyFill="1" applyBorder="1" applyAlignment="1" applyProtection="1">
      <alignment horizontal="center" vertical="center" wrapText="1"/>
    </xf>
    <xf numFmtId="0" fontId="13" fillId="2" borderId="35" xfId="0" applyFont="1" applyFill="1" applyBorder="1" applyAlignment="1" applyProtection="1">
      <alignment horizontal="center" vertical="center" wrapText="1"/>
    </xf>
    <xf numFmtId="0" fontId="12" fillId="2" borderId="34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0" borderId="35" xfId="0" applyFont="1" applyBorder="1" applyAlignment="1" applyProtection="1">
      <alignment horizontal="center" vertical="center" wrapText="1"/>
    </xf>
    <xf numFmtId="0" fontId="12" fillId="0" borderId="34" xfId="0" applyFont="1" applyBorder="1" applyAlignment="1" applyProtection="1">
      <alignment horizontal="center" vertical="center" wrapText="1"/>
    </xf>
    <xf numFmtId="0" fontId="13" fillId="0" borderId="32" xfId="0" applyFont="1" applyBorder="1" applyAlignment="1" applyProtection="1">
      <alignment horizontal="center" vertical="center" wrapText="1"/>
    </xf>
    <xf numFmtId="0" fontId="13" fillId="0" borderId="34" xfId="0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2" fillId="0" borderId="35" xfId="0" applyFont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</xf>
    <xf numFmtId="0" fontId="12" fillId="0" borderId="36" xfId="0" applyFont="1" applyBorder="1" applyAlignment="1" applyProtection="1">
      <alignment horizontal="center" vertical="center" wrapText="1"/>
    </xf>
    <xf numFmtId="0" fontId="12" fillId="0" borderId="38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2" fillId="0" borderId="32" xfId="0" applyFont="1" applyBorder="1" applyAlignment="1" applyProtection="1">
      <alignment horizontal="center" vertical="center" wrapText="1"/>
    </xf>
    <xf numFmtId="0" fontId="13" fillId="0" borderId="40" xfId="0" applyFont="1" applyBorder="1" applyAlignment="1" applyProtection="1">
      <alignment horizontal="center" vertical="center" wrapText="1"/>
    </xf>
    <xf numFmtId="0" fontId="12" fillId="0" borderId="37" xfId="0" applyFont="1" applyBorder="1" applyAlignment="1" applyProtection="1">
      <alignment horizontal="center" vertical="center" wrapText="1"/>
    </xf>
    <xf numFmtId="0" fontId="13" fillId="0" borderId="34" xfId="0" applyFont="1" applyFill="1" applyBorder="1" applyAlignment="1" applyProtection="1">
      <alignment horizontal="center" vertical="center" wrapText="1"/>
    </xf>
    <xf numFmtId="0" fontId="13" fillId="2" borderId="40" xfId="0" applyFont="1" applyFill="1" applyBorder="1" applyAlignment="1" applyProtection="1">
      <alignment horizontal="center" vertical="center" wrapText="1"/>
    </xf>
    <xf numFmtId="0" fontId="13" fillId="2" borderId="41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  <protection locked="0"/>
    </xf>
    <xf numFmtId="0" fontId="1" fillId="9" borderId="17" xfId="0" applyFont="1" applyFill="1" applyBorder="1" applyAlignment="1" applyProtection="1">
      <alignment horizontal="center" vertical="center" wrapText="1"/>
      <protection locked="0"/>
    </xf>
    <xf numFmtId="0" fontId="1" fillId="9" borderId="18" xfId="0" applyFont="1" applyFill="1" applyBorder="1" applyAlignment="1" applyProtection="1">
      <alignment horizontal="center" vertical="center" wrapText="1"/>
      <protection locked="0"/>
    </xf>
    <xf numFmtId="0" fontId="1" fillId="10" borderId="4" xfId="0" applyFont="1" applyFill="1" applyBorder="1" applyAlignment="1" applyProtection="1">
      <alignment horizontal="center" vertical="center" wrapText="1"/>
    </xf>
    <xf numFmtId="0" fontId="1" fillId="10" borderId="9" xfId="0" applyFont="1" applyFill="1" applyBorder="1" applyAlignment="1" applyProtection="1">
      <alignment horizontal="center" vertical="center" wrapText="1"/>
    </xf>
    <xf numFmtId="0" fontId="7" fillId="7" borderId="20" xfId="0" applyFont="1" applyFill="1" applyBorder="1" applyAlignment="1" applyProtection="1">
      <alignment horizontal="center" vertical="center" wrapText="1"/>
    </xf>
    <xf numFmtId="0" fontId="7" fillId="7" borderId="21" xfId="0" applyFont="1" applyFill="1" applyBorder="1" applyAlignment="1" applyProtection="1">
      <alignment horizontal="center" vertical="center" wrapText="1"/>
    </xf>
    <xf numFmtId="0" fontId="7" fillId="7" borderId="22" xfId="0" applyFont="1" applyFill="1" applyBorder="1" applyAlignment="1" applyProtection="1">
      <alignment horizontal="center" vertical="center" wrapText="1"/>
    </xf>
    <xf numFmtId="0" fontId="7" fillId="7" borderId="23" xfId="0" applyFont="1" applyFill="1" applyBorder="1" applyAlignment="1" applyProtection="1">
      <alignment horizontal="center" vertical="center" wrapText="1"/>
    </xf>
    <xf numFmtId="0" fontId="7" fillId="7" borderId="24" xfId="0" applyFont="1" applyFill="1" applyBorder="1" applyAlignment="1" applyProtection="1">
      <alignment horizontal="center" vertical="center" wrapText="1"/>
    </xf>
    <xf numFmtId="0" fontId="7" fillId="7" borderId="2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5" fillId="6" borderId="27" xfId="0" applyFont="1" applyFill="1" applyBorder="1" applyAlignment="1" applyProtection="1">
      <alignment horizontal="center" vertical="center" wrapText="1"/>
    </xf>
    <xf numFmtId="0" fontId="7" fillId="6" borderId="26" xfId="0" applyFont="1" applyFill="1" applyBorder="1" applyAlignment="1" applyProtection="1">
      <alignment horizontal="center" vertical="center" wrapText="1"/>
    </xf>
    <xf numFmtId="0" fontId="7" fillId="6" borderId="28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16" xfId="0" applyFont="1" applyFill="1" applyBorder="1" applyAlignment="1" applyProtection="1">
      <alignment horizontal="center" vertical="center" wrapText="1"/>
    </xf>
    <xf numFmtId="0" fontId="1" fillId="5" borderId="20" xfId="0" applyFont="1" applyFill="1" applyBorder="1" applyAlignment="1" applyProtection="1">
      <alignment horizontal="center" vertical="center" wrapText="1"/>
    </xf>
    <xf numFmtId="0" fontId="1" fillId="5" borderId="21" xfId="0" applyFont="1" applyFill="1" applyBorder="1" applyAlignment="1" applyProtection="1">
      <alignment horizontal="center" vertical="center" wrapText="1"/>
    </xf>
    <xf numFmtId="0" fontId="1" fillId="5" borderId="22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7" fillId="7" borderId="4" xfId="0" applyFont="1" applyFill="1" applyBorder="1" applyAlignment="1" applyProtection="1">
      <alignment horizontal="center" vertical="center" wrapText="1"/>
    </xf>
    <xf numFmtId="0" fontId="7" fillId="7" borderId="9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9" borderId="3" xfId="0" applyFont="1" applyFill="1" applyBorder="1" applyAlignment="1" applyProtection="1">
      <alignment horizontal="center" vertical="center" wrapText="1"/>
      <protection locked="0"/>
    </xf>
    <xf numFmtId="0" fontId="1" fillId="9" borderId="8" xfId="0" applyFont="1" applyFill="1" applyBorder="1" applyAlignment="1" applyProtection="1">
      <alignment horizontal="center" vertical="center" wrapText="1"/>
      <protection locked="0"/>
    </xf>
    <xf numFmtId="0" fontId="1" fillId="10" borderId="3" xfId="0" applyNumberFormat="1" applyFont="1" applyFill="1" applyBorder="1" applyAlignment="1" applyProtection="1">
      <alignment horizontal="center" vertical="center" wrapText="1"/>
    </xf>
    <xf numFmtId="0" fontId="1" fillId="10" borderId="8" xfId="0" applyNumberFormat="1" applyFont="1" applyFill="1" applyBorder="1" applyAlignment="1" applyProtection="1">
      <alignment horizontal="center" vertical="center" wrapText="1"/>
    </xf>
    <xf numFmtId="0" fontId="1" fillId="10" borderId="3" xfId="0" applyFont="1" applyFill="1" applyBorder="1" applyAlignment="1" applyProtection="1">
      <alignment horizontal="center" vertical="center" wrapText="1"/>
    </xf>
    <xf numFmtId="0" fontId="1" fillId="10" borderId="8" xfId="0" applyFont="1" applyFill="1" applyBorder="1" applyAlignment="1" applyProtection="1">
      <alignment horizontal="center" vertical="center" wrapText="1"/>
    </xf>
    <xf numFmtId="0" fontId="1" fillId="9" borderId="4" xfId="0" applyFont="1" applyFill="1" applyBorder="1" applyAlignment="1" applyProtection="1">
      <alignment horizontal="center" vertical="center" wrapText="1"/>
      <protection locked="0"/>
    </xf>
    <xf numFmtId="0" fontId="1" fillId="9" borderId="9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246529</xdr:colOff>
      <xdr:row>0</xdr:row>
      <xdr:rowOff>44825</xdr:rowOff>
    </xdr:from>
    <xdr:to>
      <xdr:col>14</xdr:col>
      <xdr:colOff>616324</xdr:colOff>
      <xdr:row>3</xdr:row>
      <xdr:rowOff>11206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359588" y="44825"/>
          <a:ext cx="8796618" cy="5378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Note: </a:t>
          </a:r>
          <a:r>
            <a:rPr lang="en-US" sz="1400"/>
            <a:t>The</a:t>
          </a:r>
          <a:r>
            <a:rPr lang="en-US" sz="1400" baseline="0"/>
            <a:t> default values are selected as per JEDEC specification</a:t>
          </a:r>
          <a:r>
            <a:rPr lang="en-US" sz="1400" b="1" baseline="0"/>
            <a:t> </a:t>
          </a:r>
          <a:r>
            <a:rPr lang="en-US" sz="1400" b="0" baseline="0"/>
            <a:t>at </a:t>
          </a:r>
          <a:r>
            <a:rPr lang="en-US" sz="1400" b="1" baseline="0"/>
            <a:t>DCLK = 800 MHz.</a:t>
          </a:r>
          <a:endParaRPr lang="en-US" sz="14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1"/>
  <sheetViews>
    <sheetView tabSelected="1" zoomScale="70" zoomScaleNormal="70" workbookViewId="0">
      <selection activeCell="J19" sqref="J19"/>
    </sheetView>
  </sheetViews>
  <sheetFormatPr defaultColWidth="9.140625" defaultRowHeight="15" x14ac:dyDescent="0.25"/>
  <cols>
    <col min="1" max="1" width="27.7109375" style="35" customWidth="1"/>
    <col min="2" max="34" width="15.7109375" style="35" customWidth="1"/>
    <col min="35" max="16384" width="9.140625" style="35"/>
  </cols>
  <sheetData>
    <row r="1" spans="1:23" ht="15" customHeight="1" x14ac:dyDescent="0.25">
      <c r="A1" s="46" t="s">
        <v>0</v>
      </c>
      <c r="B1" s="46" t="s">
        <v>1</v>
      </c>
      <c r="C1" s="47" t="s">
        <v>2</v>
      </c>
      <c r="D1" s="70"/>
      <c r="E1" s="71" t="s">
        <v>2</v>
      </c>
      <c r="F1" s="72"/>
      <c r="G1" s="72"/>
      <c r="H1" s="72"/>
      <c r="I1" s="72"/>
      <c r="J1" s="72"/>
      <c r="K1" s="72"/>
      <c r="L1" s="51"/>
      <c r="M1" s="51"/>
      <c r="N1" s="51"/>
      <c r="O1" s="52"/>
      <c r="P1" s="52"/>
      <c r="Q1" s="52"/>
      <c r="R1" s="52"/>
      <c r="S1" s="36"/>
      <c r="T1" s="36"/>
      <c r="U1" s="36"/>
      <c r="V1" s="36"/>
      <c r="W1" s="36"/>
    </row>
    <row r="2" spans="1:23" ht="15" customHeight="1" x14ac:dyDescent="0.25">
      <c r="A2" s="48" t="s">
        <v>86</v>
      </c>
      <c r="B2" s="49">
        <v>800</v>
      </c>
      <c r="C2" s="50" t="s">
        <v>3</v>
      </c>
      <c r="D2" s="73">
        <f>(1/B2)*1000</f>
        <v>1.25</v>
      </c>
      <c r="E2" s="74" t="s">
        <v>4</v>
      </c>
      <c r="F2" s="75"/>
      <c r="G2" s="72"/>
      <c r="H2" s="72"/>
      <c r="I2" s="72"/>
      <c r="J2" s="72"/>
      <c r="K2" s="72"/>
      <c r="L2" s="51"/>
      <c r="M2" s="51"/>
      <c r="N2" s="51"/>
      <c r="O2" s="52"/>
      <c r="P2" s="52"/>
      <c r="Q2" s="52"/>
      <c r="R2" s="52"/>
      <c r="S2" s="36"/>
      <c r="T2" s="36"/>
      <c r="U2" s="36"/>
      <c r="V2" s="36"/>
      <c r="W2" s="36"/>
    </row>
    <row r="3" spans="1:23" ht="15" customHeight="1" x14ac:dyDescent="0.25">
      <c r="A3" s="48" t="s">
        <v>63</v>
      </c>
      <c r="B3" s="49">
        <v>8192</v>
      </c>
      <c r="C3" s="50" t="s">
        <v>71</v>
      </c>
      <c r="D3" s="73">
        <f>LOG((B3*1024*1024/(64*1024*1024)),2)</f>
        <v>7</v>
      </c>
      <c r="E3" s="76"/>
      <c r="F3" s="72"/>
      <c r="G3" s="77" t="s">
        <v>4</v>
      </c>
      <c r="H3" s="77" t="s">
        <v>93</v>
      </c>
      <c r="I3" s="77">
        <v>0</v>
      </c>
      <c r="J3" s="77" t="s">
        <v>85</v>
      </c>
      <c r="K3" s="77">
        <v>16</v>
      </c>
      <c r="L3" s="51"/>
      <c r="M3" s="51"/>
      <c r="N3" s="51"/>
      <c r="O3" s="52"/>
      <c r="P3" s="52"/>
      <c r="Q3" s="52"/>
      <c r="R3" s="52"/>
      <c r="S3" s="36"/>
      <c r="T3" s="36"/>
      <c r="U3" s="36"/>
      <c r="V3" s="36"/>
      <c r="W3" s="36"/>
    </row>
    <row r="4" spans="1:23" ht="15" customHeight="1" x14ac:dyDescent="0.25">
      <c r="A4" s="48" t="s">
        <v>16</v>
      </c>
      <c r="B4" s="49">
        <v>13.75</v>
      </c>
      <c r="C4" s="50" t="s">
        <v>4</v>
      </c>
      <c r="D4" s="73">
        <f>IF(C4=G3,CEILING((B4/D2),1),B4)</f>
        <v>11</v>
      </c>
      <c r="E4" s="76" t="s">
        <v>6</v>
      </c>
      <c r="F4" s="78"/>
      <c r="G4" s="77" t="s">
        <v>72</v>
      </c>
      <c r="H4" s="77" t="s">
        <v>94</v>
      </c>
      <c r="I4" s="77">
        <v>75</v>
      </c>
      <c r="J4" s="77" t="s">
        <v>95</v>
      </c>
      <c r="K4" s="77">
        <v>5</v>
      </c>
      <c r="L4" s="51"/>
      <c r="M4" s="51"/>
      <c r="N4" s="51"/>
      <c r="O4" s="52"/>
      <c r="P4" s="52"/>
      <c r="Q4" s="52"/>
      <c r="R4" s="52"/>
      <c r="S4" s="36"/>
      <c r="T4" s="36"/>
      <c r="U4" s="36"/>
      <c r="V4" s="36"/>
      <c r="W4" s="36"/>
    </row>
    <row r="5" spans="1:23" ht="15" customHeight="1" x14ac:dyDescent="0.25">
      <c r="A5" s="48" t="s">
        <v>17</v>
      </c>
      <c r="B5" s="49">
        <v>6</v>
      </c>
      <c r="C5" s="50" t="s">
        <v>6</v>
      </c>
      <c r="D5" s="73">
        <f>IF(C5=G3,CEILING((B5/D2),1),B5)</f>
        <v>6</v>
      </c>
      <c r="E5" s="76" t="s">
        <v>6</v>
      </c>
      <c r="F5" s="79"/>
      <c r="G5" s="80"/>
      <c r="H5" s="77"/>
      <c r="I5" s="77">
        <v>150</v>
      </c>
      <c r="J5" s="77" t="s">
        <v>96</v>
      </c>
      <c r="K5" s="77">
        <v>6</v>
      </c>
      <c r="L5" s="51"/>
      <c r="M5" s="51"/>
      <c r="N5" s="51"/>
      <c r="O5" s="52"/>
      <c r="P5" s="52"/>
      <c r="Q5" s="52"/>
      <c r="R5" s="52"/>
      <c r="S5" s="36"/>
      <c r="T5" s="36"/>
      <c r="U5" s="36"/>
      <c r="V5" s="36"/>
      <c r="W5" s="36"/>
    </row>
    <row r="6" spans="1:23" ht="15" customHeight="1" x14ac:dyDescent="0.25">
      <c r="A6" s="48" t="s">
        <v>18</v>
      </c>
      <c r="B6" s="49">
        <v>13.75</v>
      </c>
      <c r="C6" s="50" t="s">
        <v>4</v>
      </c>
      <c r="D6" s="73">
        <f>IF(C6=G3,CEILING((B6/D2),1),B6)</f>
        <v>11</v>
      </c>
      <c r="E6" s="76" t="s">
        <v>6</v>
      </c>
      <c r="F6" s="79"/>
      <c r="G6" s="72"/>
      <c r="H6" s="77" t="s">
        <v>82</v>
      </c>
      <c r="I6" s="77">
        <v>50</v>
      </c>
      <c r="J6" s="77" t="s">
        <v>93</v>
      </c>
      <c r="K6" s="77">
        <v>7</v>
      </c>
      <c r="L6" s="51"/>
      <c r="M6" s="51"/>
      <c r="N6" s="51"/>
      <c r="O6" s="52"/>
      <c r="P6" s="52"/>
      <c r="Q6" s="52"/>
      <c r="R6" s="52"/>
      <c r="S6" s="36"/>
      <c r="T6" s="36"/>
      <c r="U6" s="36"/>
      <c r="V6" s="36"/>
      <c r="W6" s="36"/>
    </row>
    <row r="7" spans="1:23" ht="15" customHeight="1" x14ac:dyDescent="0.25">
      <c r="A7" s="48" t="s">
        <v>19</v>
      </c>
      <c r="B7" s="49">
        <v>35</v>
      </c>
      <c r="C7" s="50" t="s">
        <v>4</v>
      </c>
      <c r="D7" s="73">
        <f>IF(C7=G3,CEILING((B7/D2),1),B7)</f>
        <v>28</v>
      </c>
      <c r="E7" s="76" t="s">
        <v>6</v>
      </c>
      <c r="F7" s="81"/>
      <c r="G7" s="72"/>
      <c r="H7" s="77" t="s">
        <v>83</v>
      </c>
      <c r="I7" s="77"/>
      <c r="J7" s="77" t="s">
        <v>97</v>
      </c>
      <c r="K7" s="77">
        <v>8</v>
      </c>
      <c r="L7" s="53"/>
      <c r="M7" s="51"/>
      <c r="N7" s="51"/>
      <c r="O7" s="52"/>
      <c r="P7" s="52"/>
      <c r="Q7" s="52"/>
      <c r="R7" s="52"/>
      <c r="S7" s="36"/>
      <c r="T7" s="36"/>
      <c r="U7" s="36"/>
      <c r="V7" s="36"/>
      <c r="W7" s="36"/>
    </row>
    <row r="8" spans="1:23" ht="15" customHeight="1" x14ac:dyDescent="0.25">
      <c r="A8" s="48" t="s">
        <v>20</v>
      </c>
      <c r="B8" s="49">
        <v>48.75</v>
      </c>
      <c r="C8" s="50" t="s">
        <v>4</v>
      </c>
      <c r="D8" s="73">
        <f>IF(C8=G3,CEILING((B8/D2),1),B8)</f>
        <v>39</v>
      </c>
      <c r="E8" s="76" t="s">
        <v>6</v>
      </c>
      <c r="F8" s="79"/>
      <c r="G8" s="72"/>
      <c r="H8" s="77" t="s">
        <v>84</v>
      </c>
      <c r="I8" s="77"/>
      <c r="J8" s="77" t="s">
        <v>98</v>
      </c>
      <c r="K8" s="77">
        <v>10</v>
      </c>
      <c r="L8" s="51"/>
      <c r="M8" s="51"/>
      <c r="N8" s="51"/>
      <c r="O8" s="52"/>
      <c r="P8" s="52"/>
      <c r="Q8" s="52"/>
      <c r="R8" s="52"/>
      <c r="S8" s="36"/>
      <c r="T8" s="36"/>
      <c r="U8" s="36"/>
      <c r="V8" s="36"/>
      <c r="W8" s="36"/>
    </row>
    <row r="9" spans="1:23" ht="15" customHeight="1" x14ac:dyDescent="0.25">
      <c r="A9" s="48" t="s">
        <v>21</v>
      </c>
      <c r="B9" s="49">
        <v>4</v>
      </c>
      <c r="C9" s="50" t="s">
        <v>6</v>
      </c>
      <c r="D9" s="73">
        <f>IF(C9=G3,CEILING((B9/D2),1),B9)</f>
        <v>4</v>
      </c>
      <c r="E9" s="76" t="s">
        <v>6</v>
      </c>
      <c r="F9" s="82"/>
      <c r="G9" s="80"/>
      <c r="H9" s="72"/>
      <c r="I9" s="77"/>
      <c r="J9" s="77"/>
      <c r="K9" s="77">
        <v>12</v>
      </c>
      <c r="L9" s="51"/>
      <c r="M9" s="51"/>
      <c r="N9" s="51"/>
      <c r="O9" s="52"/>
      <c r="P9" s="52"/>
      <c r="Q9" s="52"/>
      <c r="R9" s="52"/>
      <c r="S9" s="36"/>
      <c r="T9" s="36"/>
      <c r="U9" s="36"/>
      <c r="V9" s="36"/>
      <c r="W9" s="36"/>
    </row>
    <row r="10" spans="1:23" ht="15" customHeight="1" x14ac:dyDescent="0.25">
      <c r="A10" s="48" t="s">
        <v>92</v>
      </c>
      <c r="B10" s="49">
        <v>7.8</v>
      </c>
      <c r="C10" s="50" t="s">
        <v>103</v>
      </c>
      <c r="D10" s="73">
        <f>IF(C10="us",(B10/D2)*1000,B10)</f>
        <v>6240</v>
      </c>
      <c r="E10" s="76" t="s">
        <v>6</v>
      </c>
      <c r="F10" s="83"/>
      <c r="G10" s="80"/>
      <c r="H10" s="77"/>
      <c r="I10" s="77"/>
      <c r="J10" s="77"/>
      <c r="K10" s="77">
        <v>14</v>
      </c>
      <c r="L10" s="51"/>
      <c r="M10" s="51"/>
      <c r="N10" s="51"/>
      <c r="O10" s="52"/>
      <c r="P10" s="52"/>
      <c r="Q10" s="52"/>
      <c r="R10" s="52"/>
      <c r="S10" s="36"/>
      <c r="T10" s="36"/>
      <c r="U10" s="36"/>
      <c r="V10" s="36"/>
      <c r="W10" s="36"/>
    </row>
    <row r="11" spans="1:23" ht="15" customHeight="1" x14ac:dyDescent="0.25">
      <c r="A11" s="48" t="s">
        <v>14</v>
      </c>
      <c r="B11" s="49">
        <v>350</v>
      </c>
      <c r="C11" s="50" t="s">
        <v>4</v>
      </c>
      <c r="D11" s="73">
        <f>IF(C11=G3,CEILING((B11/D2),1),B11)</f>
        <v>280</v>
      </c>
      <c r="E11" s="76" t="s">
        <v>6</v>
      </c>
      <c r="F11" s="79"/>
      <c r="G11" s="77" t="s">
        <v>4</v>
      </c>
      <c r="H11" s="84" t="s">
        <v>72</v>
      </c>
      <c r="I11" s="84" t="s">
        <v>79</v>
      </c>
      <c r="J11" s="84" t="s">
        <v>81</v>
      </c>
      <c r="K11" s="84" t="s">
        <v>22</v>
      </c>
      <c r="L11" s="54"/>
      <c r="M11" s="51"/>
      <c r="N11" s="51"/>
      <c r="O11" s="52"/>
      <c r="P11" s="52"/>
      <c r="Q11" s="52"/>
      <c r="R11" s="52"/>
      <c r="S11" s="36"/>
      <c r="T11" s="36"/>
      <c r="U11" s="36"/>
      <c r="V11" s="36"/>
      <c r="W11" s="36"/>
    </row>
    <row r="12" spans="1:23" ht="15" customHeight="1" x14ac:dyDescent="0.25">
      <c r="A12" s="48" t="s">
        <v>15</v>
      </c>
      <c r="B12" s="49">
        <v>6</v>
      </c>
      <c r="C12" s="50" t="s">
        <v>6</v>
      </c>
      <c r="D12" s="73">
        <f>IF(C12=G3,CEILING((B12/D2),1),B12)</f>
        <v>6</v>
      </c>
      <c r="E12" s="76" t="s">
        <v>6</v>
      </c>
      <c r="F12" s="79"/>
      <c r="G12" s="77" t="s">
        <v>6</v>
      </c>
      <c r="H12" s="77">
        <f>512</f>
        <v>512</v>
      </c>
      <c r="I12" s="77">
        <v>5</v>
      </c>
      <c r="J12" s="77" t="s">
        <v>99</v>
      </c>
      <c r="K12" s="77">
        <v>5</v>
      </c>
      <c r="L12" s="53"/>
      <c r="M12" s="51"/>
      <c r="N12" s="51"/>
      <c r="O12" s="52"/>
      <c r="P12" s="52"/>
      <c r="Q12" s="52"/>
      <c r="R12" s="52"/>
      <c r="S12" s="36"/>
      <c r="T12" s="36"/>
      <c r="U12" s="36"/>
      <c r="V12" s="36"/>
      <c r="W12" s="36"/>
    </row>
    <row r="13" spans="1:23" ht="15" customHeight="1" x14ac:dyDescent="0.25">
      <c r="A13" s="48" t="s">
        <v>8</v>
      </c>
      <c r="B13" s="49">
        <v>40</v>
      </c>
      <c r="C13" s="50" t="s">
        <v>4</v>
      </c>
      <c r="D13" s="73">
        <f>IF(C13=G3,CEILING((B13/D2),1),B13)</f>
        <v>32</v>
      </c>
      <c r="E13" s="76" t="s">
        <v>6</v>
      </c>
      <c r="F13" s="79"/>
      <c r="G13" s="78"/>
      <c r="H13" s="77">
        <f>1024</f>
        <v>1024</v>
      </c>
      <c r="I13" s="77">
        <v>6</v>
      </c>
      <c r="J13" s="77" t="s">
        <v>83</v>
      </c>
      <c r="K13" s="77">
        <v>6</v>
      </c>
      <c r="L13" s="53"/>
      <c r="M13" s="51"/>
      <c r="N13" s="51"/>
      <c r="O13" s="52"/>
      <c r="P13" s="52"/>
      <c r="Q13" s="52"/>
      <c r="R13" s="52"/>
      <c r="S13" s="36"/>
      <c r="T13" s="36"/>
      <c r="U13" s="36"/>
      <c r="V13" s="36"/>
      <c r="W13" s="36"/>
    </row>
    <row r="14" spans="1:23" ht="15" customHeight="1" x14ac:dyDescent="0.25">
      <c r="A14" s="48" t="s">
        <v>9</v>
      </c>
      <c r="B14" s="49">
        <v>6</v>
      </c>
      <c r="C14" s="50" t="s">
        <v>6</v>
      </c>
      <c r="D14" s="73">
        <f>IF(C14=G3,CEILING((B14/D2),1),B14)</f>
        <v>6</v>
      </c>
      <c r="E14" s="76" t="s">
        <v>6</v>
      </c>
      <c r="F14" s="85"/>
      <c r="G14" s="80"/>
      <c r="H14" s="77">
        <f>2048</f>
        <v>2048</v>
      </c>
      <c r="I14" s="77">
        <v>7</v>
      </c>
      <c r="J14" s="77" t="s">
        <v>84</v>
      </c>
      <c r="K14" s="77">
        <v>7</v>
      </c>
      <c r="L14" s="51"/>
      <c r="M14" s="51"/>
      <c r="N14" s="51"/>
      <c r="O14" s="52"/>
      <c r="P14" s="52"/>
      <c r="Q14" s="52"/>
      <c r="R14" s="52"/>
      <c r="S14" s="36"/>
      <c r="T14" s="36"/>
      <c r="U14" s="36"/>
      <c r="V14" s="36"/>
      <c r="W14" s="36"/>
    </row>
    <row r="15" spans="1:23" ht="15" customHeight="1" x14ac:dyDescent="0.25">
      <c r="A15" s="48" t="s">
        <v>10</v>
      </c>
      <c r="B15" s="49">
        <v>15</v>
      </c>
      <c r="C15" s="50" t="s">
        <v>4</v>
      </c>
      <c r="D15" s="73">
        <f>IF(C15=G3,CEILING((B15/D2),1),B15)</f>
        <v>12</v>
      </c>
      <c r="E15" s="86" t="s">
        <v>6</v>
      </c>
      <c r="F15" s="76">
        <f>IF(D15&lt;=5,1,IF(D15&lt;=6,2,IF(D15&lt;=7,3,IF(D15&lt;=8,4,IF(D15&lt;=10,5,IF(D15&lt;=12,6,IF(D15&lt;=14,7,IF(D15&lt;=16,0,0))))))))</f>
        <v>6</v>
      </c>
      <c r="G15" s="78"/>
      <c r="H15" s="77">
        <f>4096</f>
        <v>4096</v>
      </c>
      <c r="I15" s="77">
        <v>8</v>
      </c>
      <c r="J15" s="72"/>
      <c r="K15" s="77">
        <v>8</v>
      </c>
      <c r="L15" s="51"/>
      <c r="M15" s="51"/>
      <c r="N15" s="51"/>
      <c r="O15" s="52"/>
      <c r="P15" s="52"/>
      <c r="Q15" s="52"/>
      <c r="R15" s="52"/>
      <c r="S15" s="36"/>
      <c r="T15" s="36"/>
      <c r="U15" s="36"/>
      <c r="V15" s="36"/>
      <c r="W15" s="36"/>
    </row>
    <row r="16" spans="1:23" ht="15" customHeight="1" x14ac:dyDescent="0.25">
      <c r="A16" s="48" t="s">
        <v>11</v>
      </c>
      <c r="B16" s="49">
        <v>5</v>
      </c>
      <c r="C16" s="50" t="s">
        <v>6</v>
      </c>
      <c r="D16" s="73">
        <f>IF(C16=G3,CEILING((B16/D2),1),B16)</f>
        <v>5</v>
      </c>
      <c r="E16" s="76" t="s">
        <v>6</v>
      </c>
      <c r="F16" s="83"/>
      <c r="G16" s="77" t="s">
        <v>103</v>
      </c>
      <c r="H16" s="77">
        <f>8192</f>
        <v>8192</v>
      </c>
      <c r="I16" s="77">
        <v>9</v>
      </c>
      <c r="J16" s="72"/>
      <c r="K16" s="77">
        <v>9</v>
      </c>
      <c r="L16" s="51"/>
      <c r="M16" s="53"/>
      <c r="N16" s="51"/>
      <c r="O16" s="52"/>
      <c r="P16" s="52"/>
      <c r="Q16" s="52"/>
      <c r="R16" s="52"/>
      <c r="S16" s="36"/>
      <c r="T16" s="36"/>
      <c r="U16" s="36"/>
      <c r="V16" s="36"/>
      <c r="W16" s="36"/>
    </row>
    <row r="17" spans="1:34" ht="15" customHeight="1" x14ac:dyDescent="0.25">
      <c r="A17" s="48" t="s">
        <v>12</v>
      </c>
      <c r="B17" s="49">
        <v>4</v>
      </c>
      <c r="C17" s="50" t="s">
        <v>6</v>
      </c>
      <c r="D17" s="73">
        <f>IF(C17=G3,CEILING((B17/D2),1),B17)</f>
        <v>4</v>
      </c>
      <c r="E17" s="76" t="s">
        <v>6</v>
      </c>
      <c r="F17" s="83"/>
      <c r="G17" s="77" t="s">
        <v>6</v>
      </c>
      <c r="H17" s="72"/>
      <c r="I17" s="77">
        <v>10</v>
      </c>
      <c r="J17" s="72"/>
      <c r="K17" s="77">
        <v>10</v>
      </c>
      <c r="L17" s="51"/>
      <c r="M17" s="53"/>
      <c r="N17" s="51"/>
      <c r="O17" s="52"/>
      <c r="P17" s="52"/>
      <c r="Q17" s="52"/>
      <c r="R17" s="52"/>
      <c r="S17" s="36"/>
      <c r="T17" s="36"/>
      <c r="U17" s="36"/>
      <c r="V17" s="36"/>
      <c r="W17" s="36"/>
    </row>
    <row r="18" spans="1:34" ht="15" customHeight="1" x14ac:dyDescent="0.25">
      <c r="A18" s="48" t="s">
        <v>66</v>
      </c>
      <c r="B18" s="49">
        <v>11</v>
      </c>
      <c r="C18" s="50" t="s">
        <v>6</v>
      </c>
      <c r="D18" s="73">
        <f>B18</f>
        <v>11</v>
      </c>
      <c r="E18" s="76" t="s">
        <v>6</v>
      </c>
      <c r="F18" s="87"/>
      <c r="G18" s="80"/>
      <c r="H18" s="77"/>
      <c r="I18" s="77">
        <v>11</v>
      </c>
      <c r="J18" s="72"/>
      <c r="K18" s="77">
        <v>11</v>
      </c>
      <c r="L18" s="51"/>
      <c r="M18" s="53"/>
      <c r="N18" s="51"/>
      <c r="O18" s="52"/>
      <c r="P18" s="52"/>
      <c r="Q18" s="52"/>
      <c r="R18" s="52"/>
      <c r="S18" s="36"/>
      <c r="T18" s="36"/>
      <c r="U18" s="36"/>
      <c r="V18" s="36"/>
      <c r="W18" s="36"/>
    </row>
    <row r="19" spans="1:34" ht="15" customHeight="1" x14ac:dyDescent="0.25">
      <c r="A19" s="48" t="s">
        <v>64</v>
      </c>
      <c r="B19" s="49">
        <v>8</v>
      </c>
      <c r="C19" s="50" t="s">
        <v>6</v>
      </c>
      <c r="D19" s="73">
        <v>0</v>
      </c>
      <c r="E19" s="76" t="s">
        <v>6</v>
      </c>
      <c r="F19" s="72"/>
      <c r="G19" s="72"/>
      <c r="H19" s="77"/>
      <c r="I19" s="77">
        <v>12</v>
      </c>
      <c r="J19" s="72"/>
      <c r="K19" s="77">
        <v>12</v>
      </c>
      <c r="L19" s="51"/>
      <c r="M19" s="51"/>
      <c r="N19" s="51"/>
      <c r="O19" s="52"/>
      <c r="P19" s="52"/>
      <c r="Q19" s="52"/>
      <c r="R19" s="52"/>
      <c r="S19" s="36"/>
      <c r="T19" s="36"/>
      <c r="U19" s="36"/>
      <c r="V19" s="36"/>
      <c r="W19" s="36"/>
    </row>
    <row r="20" spans="1:34" ht="15" customHeight="1" x14ac:dyDescent="0.25">
      <c r="A20" s="48" t="s">
        <v>91</v>
      </c>
      <c r="B20" s="49" t="s">
        <v>93</v>
      </c>
      <c r="C20" s="50" t="s">
        <v>69</v>
      </c>
      <c r="D20" s="73">
        <f>IF(B20=H3,0,IF(B20=H4,1))</f>
        <v>0</v>
      </c>
      <c r="E20" s="88"/>
      <c r="F20" s="72"/>
      <c r="G20" s="72"/>
      <c r="H20" s="77"/>
      <c r="I20" s="77">
        <v>13</v>
      </c>
      <c r="J20" s="72"/>
      <c r="K20" s="72"/>
      <c r="L20" s="51"/>
      <c r="M20" s="51"/>
      <c r="N20" s="51"/>
      <c r="O20" s="52"/>
      <c r="P20" s="52"/>
      <c r="Q20" s="52"/>
      <c r="R20" s="52"/>
      <c r="S20" s="36"/>
      <c r="T20" s="36"/>
      <c r="U20" s="36"/>
      <c r="V20" s="36"/>
      <c r="W20" s="36"/>
    </row>
    <row r="21" spans="1:34" ht="15" customHeight="1" x14ac:dyDescent="0.25">
      <c r="A21" s="48" t="s">
        <v>89</v>
      </c>
      <c r="B21" s="49" t="s">
        <v>96</v>
      </c>
      <c r="C21" s="50" t="s">
        <v>69</v>
      </c>
      <c r="D21" s="73">
        <f>IF(B21=J3,0,IF(B21=J4,1,IF(B21=J5,2,IF(B21=J6,3,IF(B21=J7,4,IF(B21=J8,5))))))</f>
        <v>2</v>
      </c>
      <c r="E21" s="88" t="s">
        <v>6</v>
      </c>
      <c r="F21" s="72"/>
      <c r="G21" s="72"/>
      <c r="H21" s="77"/>
      <c r="I21" s="77">
        <v>14</v>
      </c>
      <c r="J21" s="72"/>
      <c r="K21" s="77"/>
      <c r="L21" s="51"/>
      <c r="M21" s="51"/>
      <c r="N21" s="51"/>
      <c r="O21" s="52"/>
      <c r="P21" s="52"/>
      <c r="Q21" s="52"/>
      <c r="R21" s="52"/>
      <c r="S21" s="36"/>
      <c r="T21" s="36"/>
      <c r="U21" s="36"/>
      <c r="V21" s="36"/>
      <c r="W21" s="36"/>
    </row>
    <row r="22" spans="1:34" ht="15" customHeight="1" x14ac:dyDescent="0.25">
      <c r="A22" s="48" t="s">
        <v>67</v>
      </c>
      <c r="B22" s="49">
        <v>100</v>
      </c>
      <c r="C22" s="50" t="s">
        <v>69</v>
      </c>
      <c r="D22" s="73">
        <f>B22</f>
        <v>100</v>
      </c>
      <c r="E22" s="88"/>
      <c r="F22" s="80"/>
      <c r="G22" s="72"/>
      <c r="H22" s="77"/>
      <c r="I22" s="72"/>
      <c r="J22" s="72"/>
      <c r="K22" s="77"/>
      <c r="L22" s="61"/>
      <c r="M22" s="51"/>
      <c r="N22" s="51"/>
      <c r="O22" s="52"/>
      <c r="P22" s="52"/>
      <c r="Q22" s="52"/>
      <c r="R22" s="52"/>
      <c r="S22" s="36"/>
      <c r="T22" s="36"/>
      <c r="U22" s="36"/>
      <c r="V22" s="36"/>
      <c r="W22" s="36"/>
    </row>
    <row r="23" spans="1:34" ht="15" customHeight="1" x14ac:dyDescent="0.25">
      <c r="A23" s="48" t="s">
        <v>68</v>
      </c>
      <c r="B23" s="49">
        <v>90</v>
      </c>
      <c r="C23" s="50" t="s">
        <v>69</v>
      </c>
      <c r="D23" s="73">
        <f>B23</f>
        <v>90</v>
      </c>
      <c r="E23" s="88"/>
      <c r="F23" s="76"/>
      <c r="G23" s="72"/>
      <c r="H23" s="77"/>
      <c r="I23" s="77"/>
      <c r="J23" s="72"/>
      <c r="K23" s="77"/>
      <c r="L23" s="61"/>
      <c r="M23" s="51"/>
      <c r="N23" s="51"/>
      <c r="O23" s="52"/>
      <c r="P23" s="52"/>
      <c r="Q23" s="52"/>
      <c r="R23" s="52"/>
      <c r="S23" s="36"/>
      <c r="T23" s="36"/>
      <c r="U23" s="36"/>
      <c r="V23" s="36"/>
      <c r="W23" s="36"/>
    </row>
    <row r="24" spans="1:34" ht="15" customHeight="1" x14ac:dyDescent="0.25">
      <c r="A24" s="48" t="s">
        <v>74</v>
      </c>
      <c r="B24" s="49">
        <v>75</v>
      </c>
      <c r="C24" s="50" t="s">
        <v>69</v>
      </c>
      <c r="D24" s="73">
        <f>1.6*B24</f>
        <v>120</v>
      </c>
      <c r="E24" s="76"/>
      <c r="F24" s="72"/>
      <c r="G24" s="72" t="s">
        <v>127</v>
      </c>
      <c r="H24" s="84" t="s">
        <v>75</v>
      </c>
      <c r="I24" s="84" t="s">
        <v>76</v>
      </c>
      <c r="J24" s="84" t="s">
        <v>80</v>
      </c>
      <c r="K24" s="84"/>
      <c r="L24" s="51"/>
      <c r="M24" s="54"/>
      <c r="N24" s="51"/>
      <c r="O24" s="55"/>
      <c r="P24" s="52"/>
      <c r="Q24" s="52"/>
      <c r="R24" s="52"/>
      <c r="S24" s="36"/>
      <c r="T24" s="36"/>
      <c r="U24" s="36"/>
      <c r="V24" s="36"/>
      <c r="W24" s="36"/>
    </row>
    <row r="25" spans="1:34" ht="15" customHeight="1" x14ac:dyDescent="0.25">
      <c r="A25" s="48" t="s">
        <v>90</v>
      </c>
      <c r="B25" s="49" t="s">
        <v>99</v>
      </c>
      <c r="C25" s="50" t="s">
        <v>6</v>
      </c>
      <c r="D25" s="73" t="b">
        <f>IF(B25=H6,0,IF(B25=H7,1,IF(B25=H8,2)))</f>
        <v>0</v>
      </c>
      <c r="E25" s="89">
        <f>IF(B25="AL Disable", 0,IF(B25="CL-1",B18-1,IF(B25="CL-2",B18-2,0)))</f>
        <v>0</v>
      </c>
      <c r="F25" s="90">
        <f>E25+B26</f>
        <v>8</v>
      </c>
      <c r="G25" s="72">
        <f>CEILING((15/D2),1)</f>
        <v>12</v>
      </c>
      <c r="H25" s="77" t="s">
        <v>93</v>
      </c>
      <c r="I25" s="77" t="s">
        <v>85</v>
      </c>
      <c r="J25" s="77" t="s">
        <v>73</v>
      </c>
      <c r="K25" s="77"/>
      <c r="L25" s="51"/>
      <c r="M25" s="53"/>
      <c r="N25" s="51"/>
      <c r="O25" s="56"/>
      <c r="P25" s="52"/>
      <c r="Q25" s="52"/>
      <c r="R25" s="52"/>
      <c r="S25" s="36"/>
      <c r="T25" s="36"/>
      <c r="U25" s="36"/>
      <c r="V25" s="36"/>
      <c r="W25" s="36"/>
    </row>
    <row r="26" spans="1:34" ht="15" customHeight="1" x14ac:dyDescent="0.25">
      <c r="A26" s="48" t="s">
        <v>65</v>
      </c>
      <c r="B26" s="49">
        <v>8</v>
      </c>
      <c r="C26" s="50" t="s">
        <v>6</v>
      </c>
      <c r="D26" s="73">
        <f>B26-5</f>
        <v>3</v>
      </c>
      <c r="E26" s="76"/>
      <c r="F26" s="78"/>
      <c r="G26" s="72"/>
      <c r="H26" s="77" t="s">
        <v>94</v>
      </c>
      <c r="I26" s="77" t="s">
        <v>77</v>
      </c>
      <c r="J26" s="77">
        <v>16</v>
      </c>
      <c r="K26" s="77"/>
      <c r="L26" s="51"/>
      <c r="M26" s="53"/>
      <c r="N26" s="51"/>
      <c r="O26" s="56"/>
      <c r="P26" s="52"/>
      <c r="Q26" s="52"/>
      <c r="R26" s="52"/>
      <c r="S26" s="36"/>
      <c r="T26" s="36"/>
      <c r="U26" s="36"/>
      <c r="V26" s="36"/>
      <c r="W26" s="36"/>
    </row>
    <row r="27" spans="1:34" ht="15" customHeight="1" x14ac:dyDescent="0.25">
      <c r="D27" s="91"/>
      <c r="E27" s="88"/>
      <c r="F27" s="72"/>
      <c r="G27" s="72"/>
      <c r="H27" s="72"/>
      <c r="I27" s="77" t="s">
        <v>78</v>
      </c>
      <c r="J27" s="77">
        <v>5</v>
      </c>
      <c r="K27" s="77"/>
      <c r="L27" s="61"/>
      <c r="M27" s="53"/>
      <c r="N27" s="51"/>
      <c r="O27" s="56"/>
      <c r="P27" s="52"/>
      <c r="Q27" s="52"/>
      <c r="R27" s="52"/>
    </row>
    <row r="28" spans="1:34" ht="15.75" thickBot="1" x14ac:dyDescent="0.3"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</row>
    <row r="29" spans="1:34" ht="30" customHeight="1" thickBot="1" x14ac:dyDescent="0.3">
      <c r="A29" s="2" t="s">
        <v>23</v>
      </c>
      <c r="B29" s="2" t="s">
        <v>24</v>
      </c>
      <c r="C29" s="37">
        <v>31</v>
      </c>
      <c r="D29" s="37">
        <v>30</v>
      </c>
      <c r="E29" s="37">
        <v>29</v>
      </c>
      <c r="F29" s="37">
        <v>28</v>
      </c>
      <c r="G29" s="37">
        <v>27</v>
      </c>
      <c r="H29" s="37">
        <v>26</v>
      </c>
      <c r="I29" s="37">
        <v>25</v>
      </c>
      <c r="J29" s="37">
        <v>24</v>
      </c>
      <c r="K29" s="37">
        <v>23</v>
      </c>
      <c r="L29" s="37">
        <v>22</v>
      </c>
      <c r="M29" s="37">
        <v>21</v>
      </c>
      <c r="N29" s="37">
        <v>20</v>
      </c>
      <c r="O29" s="37">
        <v>19</v>
      </c>
      <c r="P29" s="37">
        <v>18</v>
      </c>
      <c r="Q29" s="37">
        <v>17</v>
      </c>
      <c r="R29" s="37">
        <v>16</v>
      </c>
      <c r="S29" s="37" t="s">
        <v>144</v>
      </c>
      <c r="T29" s="37">
        <v>14</v>
      </c>
      <c r="U29" s="37">
        <v>13</v>
      </c>
      <c r="V29" s="37">
        <v>12</v>
      </c>
      <c r="W29" s="37">
        <v>11</v>
      </c>
      <c r="X29" s="37">
        <v>10</v>
      </c>
      <c r="Y29" s="37">
        <v>9</v>
      </c>
      <c r="Z29" s="37">
        <v>8</v>
      </c>
      <c r="AA29" s="37">
        <v>7</v>
      </c>
      <c r="AB29" s="37">
        <v>6</v>
      </c>
      <c r="AC29" s="37">
        <v>5</v>
      </c>
      <c r="AD29" s="37">
        <v>4</v>
      </c>
      <c r="AE29" s="37">
        <v>3</v>
      </c>
      <c r="AF29" s="37">
        <v>2</v>
      </c>
      <c r="AG29" s="37">
        <v>1</v>
      </c>
      <c r="AH29" s="37">
        <v>0</v>
      </c>
    </row>
    <row r="30" spans="1:34" ht="15.75" thickBot="1" x14ac:dyDescent="0.3">
      <c r="A30" s="1"/>
      <c r="B30" s="1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9"/>
    </row>
    <row r="31" spans="1:34" ht="15.75" thickBot="1" x14ac:dyDescent="0.3">
      <c r="A31" s="128" t="s">
        <v>25</v>
      </c>
      <c r="B31" s="94" t="str">
        <f xml:space="preserve"> DEC2HEX(AH32 + AG32*2 + AF32*2^2 + AE32*2^3 + AD32*2^4 + AC32*2^5 + AB32*2^6 + AA32*2^7 + Z32*2^8 + Y32*2^9 + X32*2^10 + W32*2^11 + V32*2^12+ U32*2^13 + T32*2^14 + S32*2^15 + R32*2^16 + Q32*2^17 + P32*2^18 + O32*2^19 + N32*2^20 + M32*2^21 + L32*2^22 + K32*2^23 + J32*2^24 + I32*2^25 + H32*2^26 + G32*2^27 + F32*2^28 +  E32*2^29 +  D32*2^30 + C32*2^31,8)</f>
        <v>08000A05</v>
      </c>
      <c r="C31" s="96" t="s">
        <v>26</v>
      </c>
      <c r="D31" s="97"/>
      <c r="E31" s="97"/>
      <c r="F31" s="98"/>
      <c r="G31" s="22" t="s">
        <v>105</v>
      </c>
      <c r="H31" s="3" t="s">
        <v>104</v>
      </c>
      <c r="I31" s="3" t="s">
        <v>27</v>
      </c>
      <c r="J31" s="4" t="s">
        <v>28</v>
      </c>
      <c r="K31" s="96" t="s">
        <v>26</v>
      </c>
      <c r="L31" s="97"/>
      <c r="M31" s="97"/>
      <c r="N31" s="97"/>
      <c r="O31" s="97"/>
      <c r="P31" s="97"/>
      <c r="Q31" s="97"/>
      <c r="R31" s="97"/>
      <c r="S31" s="97"/>
      <c r="T31" s="98"/>
      <c r="U31" s="4" t="s">
        <v>29</v>
      </c>
      <c r="V31" s="4" t="s">
        <v>30</v>
      </c>
      <c r="W31" s="119" t="s">
        <v>31</v>
      </c>
      <c r="X31" s="120"/>
      <c r="Y31" s="121"/>
      <c r="Z31" s="3" t="s">
        <v>32</v>
      </c>
      <c r="AA31" s="4" t="s">
        <v>33</v>
      </c>
      <c r="AB31" s="4" t="s">
        <v>34</v>
      </c>
      <c r="AC31" s="115" t="s">
        <v>26</v>
      </c>
      <c r="AD31" s="4" t="s">
        <v>87</v>
      </c>
      <c r="AE31" s="4" t="s">
        <v>88</v>
      </c>
      <c r="AF31" s="22" t="s">
        <v>35</v>
      </c>
      <c r="AG31" s="115" t="s">
        <v>26</v>
      </c>
      <c r="AH31" s="22" t="s">
        <v>36</v>
      </c>
    </row>
    <row r="32" spans="1:34" ht="15.75" thickBot="1" x14ac:dyDescent="0.3">
      <c r="A32" s="129"/>
      <c r="B32" s="95"/>
      <c r="C32" s="99"/>
      <c r="D32" s="100"/>
      <c r="E32" s="100"/>
      <c r="F32" s="101"/>
      <c r="G32" s="5">
        <f>IF(B2&gt;667,1,0)</f>
        <v>1</v>
      </c>
      <c r="H32" s="5">
        <v>0</v>
      </c>
      <c r="I32" s="5">
        <v>0</v>
      </c>
      <c r="J32" s="5">
        <v>0</v>
      </c>
      <c r="K32" s="99"/>
      <c r="L32" s="100"/>
      <c r="M32" s="100"/>
      <c r="N32" s="100"/>
      <c r="O32" s="100"/>
      <c r="P32" s="100"/>
      <c r="Q32" s="100"/>
      <c r="R32" s="100"/>
      <c r="S32" s="100"/>
      <c r="T32" s="101"/>
      <c r="U32" s="5">
        <v>0</v>
      </c>
      <c r="V32" s="5">
        <v>0</v>
      </c>
      <c r="W32" s="6">
        <v>1</v>
      </c>
      <c r="X32" s="7">
        <v>0</v>
      </c>
      <c r="Y32" s="12">
        <v>1</v>
      </c>
      <c r="Z32" s="5">
        <v>0</v>
      </c>
      <c r="AA32" s="5">
        <v>0</v>
      </c>
      <c r="AB32" s="5">
        <v>0</v>
      </c>
      <c r="AC32" s="116"/>
      <c r="AD32" s="5">
        <v>0</v>
      </c>
      <c r="AE32" s="5">
        <v>0</v>
      </c>
      <c r="AF32" s="5">
        <v>1</v>
      </c>
      <c r="AG32" s="116"/>
      <c r="AH32" s="5">
        <v>1</v>
      </c>
    </row>
    <row r="33" spans="1:34" ht="15.75" thickBot="1" x14ac:dyDescent="0.3">
      <c r="A33" s="40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</row>
    <row r="34" spans="1:34" ht="15.75" thickBot="1" x14ac:dyDescent="0.3">
      <c r="A34" s="122" t="s">
        <v>37</v>
      </c>
      <c r="B34" s="126" t="str">
        <f xml:space="preserve"> DEC2HEX(AH35 + AG35*2 + AF35*2^2 + AE35*2^3 + AD35*2^4 + AC35*2^5 + AB35*2^6 + AA35*2^7 + Z35*2^8 + Y35*2^9 + X35*2^10 + W35*2^11 + V35*2^12+ U35*2^13 + T35*2^14 + S35*2^15 + R35*2^16 + Q35*2^17 + P35*2^18 + O35*2^19 + N35*2^20 + M35*2^21 + L35*2^22 + K35*2^23 + J35*2^24 + I35*2^25 + H35*2^26 + G35*2^27 + F35*2^28 +  E35*2^29 +  D35*2^30 + C35*2^31,8)</f>
        <v>00000722</v>
      </c>
      <c r="C34" s="96" t="s">
        <v>26</v>
      </c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8"/>
      <c r="S34" s="119" t="s">
        <v>38</v>
      </c>
      <c r="T34" s="120"/>
      <c r="U34" s="120"/>
      <c r="V34" s="121"/>
      <c r="W34" s="119" t="s">
        <v>39</v>
      </c>
      <c r="X34" s="120"/>
      <c r="Y34" s="120"/>
      <c r="Z34" s="121"/>
      <c r="AA34" s="119" t="s">
        <v>40</v>
      </c>
      <c r="AB34" s="120"/>
      <c r="AC34" s="120"/>
      <c r="AD34" s="121"/>
      <c r="AE34" s="119" t="s">
        <v>41</v>
      </c>
      <c r="AF34" s="120"/>
      <c r="AG34" s="120"/>
      <c r="AH34" s="121"/>
    </row>
    <row r="35" spans="1:34" ht="15.75" thickBot="1" x14ac:dyDescent="0.3">
      <c r="A35" s="123"/>
      <c r="B35" s="127"/>
      <c r="C35" s="99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1"/>
      <c r="S35" s="6">
        <v>0</v>
      </c>
      <c r="T35" s="7">
        <v>0</v>
      </c>
      <c r="U35" s="7">
        <v>0</v>
      </c>
      <c r="V35" s="8">
        <v>0</v>
      </c>
      <c r="W35" s="6">
        <f>MOD(INT(D3/8),2)</f>
        <v>0</v>
      </c>
      <c r="X35" s="7">
        <f xml:space="preserve"> MOD(INT(D3/4),2)</f>
        <v>1</v>
      </c>
      <c r="Y35" s="7">
        <f>MOD(INT(D3/2),2)</f>
        <v>1</v>
      </c>
      <c r="Z35" s="8">
        <f xml:space="preserve"> MOD(D3,2)</f>
        <v>1</v>
      </c>
      <c r="AA35" s="9">
        <v>0</v>
      </c>
      <c r="AB35" s="10">
        <v>0</v>
      </c>
      <c r="AC35" s="11">
        <v>1</v>
      </c>
      <c r="AD35" s="8">
        <v>0</v>
      </c>
      <c r="AE35" s="9">
        <v>0</v>
      </c>
      <c r="AF35" s="10">
        <v>0</v>
      </c>
      <c r="AG35" s="7">
        <v>1</v>
      </c>
      <c r="AH35" s="8">
        <v>0</v>
      </c>
    </row>
    <row r="36" spans="1:34" ht="15.75" thickBot="1" x14ac:dyDescent="0.3">
      <c r="A36" s="40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</row>
    <row r="37" spans="1:34" ht="15.75" thickBot="1" x14ac:dyDescent="0.3">
      <c r="A37" s="122" t="s">
        <v>106</v>
      </c>
      <c r="B37" s="126" t="str">
        <f xml:space="preserve"> DEC2HEX(AH38 + AG38*2 + AF38*2^2 + AE38*2^3 + AD38*2^4 + AC38*2^5 + AB38*2^6 + AA38*2^7 + Z38*2^8 + Y38*2^9 + X38*2^10 + W38*2^11 + V38*2^12+ U38*2^13 + T38*2^14 + S38*2^15 + R38*2^16 + Q38*2^17 + P38*2^18 + O38*2^19 + N38*2^20 + M38*2^21 + L38*2^22 + K38*2^23 + J38*2^24 + I38*2^25 + H38*2^26 + G38*2^27 + F38*2^28 +  E38*2^29 +  D38*2^30 + C38*2^31,8)</f>
        <v>00000CF0</v>
      </c>
      <c r="C37" s="96" t="s">
        <v>26</v>
      </c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8"/>
      <c r="W37" s="119" t="s">
        <v>108</v>
      </c>
      <c r="X37" s="120"/>
      <c r="Y37" s="120"/>
      <c r="Z37" s="121"/>
      <c r="AA37" s="107" t="s">
        <v>107</v>
      </c>
      <c r="AB37" s="108"/>
      <c r="AC37" s="108"/>
      <c r="AD37" s="108"/>
      <c r="AE37" s="108"/>
      <c r="AF37" s="108"/>
      <c r="AG37" s="108"/>
      <c r="AH37" s="109"/>
    </row>
    <row r="38" spans="1:34" ht="15.75" thickBot="1" x14ac:dyDescent="0.3">
      <c r="A38" s="123"/>
      <c r="B38" s="127"/>
      <c r="C38" s="99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1"/>
      <c r="W38" s="6">
        <f>MOD(INT(G25/8),2)</f>
        <v>1</v>
      </c>
      <c r="X38" s="7">
        <f xml:space="preserve"> MOD(INT(G25/4),2)</f>
        <v>1</v>
      </c>
      <c r="Y38" s="7">
        <f>MOD(INT(G25/2),2)</f>
        <v>0</v>
      </c>
      <c r="Z38" s="8">
        <f xml:space="preserve"> MOD(G25,2)</f>
        <v>0</v>
      </c>
      <c r="AA38" s="9">
        <v>1</v>
      </c>
      <c r="AB38" s="10">
        <v>1</v>
      </c>
      <c r="AC38" s="11">
        <v>1</v>
      </c>
      <c r="AD38" s="11">
        <v>1</v>
      </c>
      <c r="AE38" s="10">
        <v>0</v>
      </c>
      <c r="AF38" s="10">
        <v>0</v>
      </c>
      <c r="AG38" s="7">
        <v>0</v>
      </c>
      <c r="AH38" s="8">
        <v>0</v>
      </c>
    </row>
    <row r="39" spans="1:34" ht="15.75" thickBot="1" x14ac:dyDescent="0.3">
      <c r="A39" s="40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</row>
    <row r="40" spans="1:34" ht="15.75" thickBot="1" x14ac:dyDescent="0.3">
      <c r="A40" s="122" t="s">
        <v>42</v>
      </c>
      <c r="B40" s="126" t="str">
        <f xml:space="preserve"> DEC2HEX(AH41 + AG41*2 + AF41*2^2 + AE41*2^3 + AD41*2^4 + AC41*2^5 + AB41*2^6 + AA41*2^7 + Z41*2^8 + Y41*2^9 + X41*2^10 + W41*2^11 + V41*2^12+ U41*2^13 + T41*2^14 + S41*2^15 + R41*2^16 + Q41*2^17 + P41*2^18 + O41*2^19 + N41*2^20 + M41*2^21 + L41*2^22 + K41*2^23 + J41*2^24 + I41*2^25 + H41*2^26 + G41*2^27 + F41*2^28 +  E41*2^29 +  D41*2^30 + C41*2^31,8)</f>
        <v>4271CB6B</v>
      </c>
      <c r="C40" s="107" t="s">
        <v>21</v>
      </c>
      <c r="D40" s="108"/>
      <c r="E40" s="108"/>
      <c r="F40" s="109"/>
      <c r="G40" s="96" t="s">
        <v>26</v>
      </c>
      <c r="H40" s="98"/>
      <c r="I40" s="119" t="s">
        <v>20</v>
      </c>
      <c r="J40" s="120"/>
      <c r="K40" s="120"/>
      <c r="L40" s="120"/>
      <c r="M40" s="120"/>
      <c r="N40" s="121"/>
      <c r="O40" s="96" t="s">
        <v>26</v>
      </c>
      <c r="P40" s="97"/>
      <c r="Q40" s="98"/>
      <c r="R40" s="119" t="s">
        <v>19</v>
      </c>
      <c r="S40" s="120"/>
      <c r="T40" s="120"/>
      <c r="U40" s="120"/>
      <c r="V40" s="121"/>
      <c r="W40" s="119" t="s">
        <v>18</v>
      </c>
      <c r="X40" s="120"/>
      <c r="Y40" s="120"/>
      <c r="Z40" s="121"/>
      <c r="AA40" s="119" t="s">
        <v>17</v>
      </c>
      <c r="AB40" s="120"/>
      <c r="AC40" s="120"/>
      <c r="AD40" s="121"/>
      <c r="AE40" s="119" t="s">
        <v>16</v>
      </c>
      <c r="AF40" s="120"/>
      <c r="AG40" s="120"/>
      <c r="AH40" s="121"/>
    </row>
    <row r="41" spans="1:34" ht="15.75" thickBot="1" x14ac:dyDescent="0.3">
      <c r="A41" s="123"/>
      <c r="B41" s="127"/>
      <c r="C41" s="9">
        <f>MOD(INT(D9/8),2)</f>
        <v>0</v>
      </c>
      <c r="D41" s="10">
        <f>MOD(INT(D9/4),2)</f>
        <v>1</v>
      </c>
      <c r="E41" s="11">
        <f>MOD(INT(D9/2),2)</f>
        <v>0</v>
      </c>
      <c r="F41" s="8">
        <f>MOD(D9,2)</f>
        <v>0</v>
      </c>
      <c r="G41" s="99"/>
      <c r="H41" s="101"/>
      <c r="I41" s="6">
        <f>MOD(INT(D8/32),2)</f>
        <v>1</v>
      </c>
      <c r="J41" s="7">
        <f>MOD(INT(D8/16),2)</f>
        <v>0</v>
      </c>
      <c r="K41" s="7">
        <f>MOD(INT(D8/8),2)</f>
        <v>0</v>
      </c>
      <c r="L41" s="7">
        <f>MOD(INT(D8/4),2)</f>
        <v>1</v>
      </c>
      <c r="M41" s="7">
        <f>MOD(INT(D8/2),2)</f>
        <v>1</v>
      </c>
      <c r="N41" s="8">
        <f>MOD(D8,2)</f>
        <v>1</v>
      </c>
      <c r="O41" s="99"/>
      <c r="P41" s="100"/>
      <c r="Q41" s="101"/>
      <c r="R41" s="9">
        <f>MOD(INT(D7/16),2)</f>
        <v>1</v>
      </c>
      <c r="S41" s="7">
        <f>MOD(INT(D7/8),2)</f>
        <v>1</v>
      </c>
      <c r="T41" s="10">
        <f>MOD(INT(D7/4),2)</f>
        <v>1</v>
      </c>
      <c r="U41" s="11">
        <f>MOD(INT(D7/2),2)</f>
        <v>0</v>
      </c>
      <c r="V41" s="8">
        <f>MOD(D7,2)</f>
        <v>0</v>
      </c>
      <c r="W41" s="6">
        <f>MOD(INT(D6/8),2)</f>
        <v>1</v>
      </c>
      <c r="X41" s="11">
        <f>MOD(INT(D6/4),2)</f>
        <v>0</v>
      </c>
      <c r="Y41" s="7">
        <f>MOD(INT(D6/2),2)</f>
        <v>1</v>
      </c>
      <c r="Z41" s="12">
        <f>MOD(D6,2)</f>
        <v>1</v>
      </c>
      <c r="AA41" s="6">
        <f>MOD(INT(D5/8),2)</f>
        <v>0</v>
      </c>
      <c r="AB41" s="7">
        <f>MOD(INT(D5/4),2)</f>
        <v>1</v>
      </c>
      <c r="AC41" s="7">
        <f>MOD(INT(D5/2),2)</f>
        <v>1</v>
      </c>
      <c r="AD41" s="12">
        <f>MOD(D5,2)</f>
        <v>0</v>
      </c>
      <c r="AE41" s="6">
        <f>MOD(INT(D4/8),2)</f>
        <v>1</v>
      </c>
      <c r="AF41" s="11">
        <f>MOD(INT(D4/4),2)</f>
        <v>0</v>
      </c>
      <c r="AG41" s="11">
        <f>MOD(INT(D4/2),2)</f>
        <v>1</v>
      </c>
      <c r="AH41" s="8">
        <f>MOD(D4,2)</f>
        <v>1</v>
      </c>
    </row>
    <row r="42" spans="1:34" ht="15.75" thickBot="1" x14ac:dyDescent="0.3">
      <c r="A42" s="40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</row>
    <row r="43" spans="1:34" ht="15.75" thickBot="1" x14ac:dyDescent="0.3">
      <c r="A43" s="122" t="s">
        <v>43</v>
      </c>
      <c r="B43" s="124" t="str">
        <f xml:space="preserve"> DEC2HEX(AH44+AG44*2+AF44*2^2+AE44*2^3+AD44*2^4+AC44*2^5+AB44*2^6+AA44*2^7+Z44*2^8+Y44*2^9+X44*2^10+W44*2^11+V44*2^12+U44*2^13+T44*2^14+S44*2^15+R44*2^16+Q44*2^17+P44*2^18+O44*2^19+N44*2^20+M44*2^21+L44*2^22+K44*2^23+J44*2^24+I44*2^25+H44*2^26+G44*2^27+F44*2^28+E44*2^29+D44*2^30+C44*2^31,8)</f>
        <v>61181860</v>
      </c>
      <c r="C43" s="115" t="s">
        <v>26</v>
      </c>
      <c r="D43" s="119" t="s">
        <v>15</v>
      </c>
      <c r="E43" s="120"/>
      <c r="F43" s="121"/>
      <c r="G43" s="96" t="s">
        <v>26</v>
      </c>
      <c r="H43" s="97"/>
      <c r="I43" s="98"/>
      <c r="J43" s="110" t="s">
        <v>14</v>
      </c>
      <c r="K43" s="111"/>
      <c r="L43" s="111"/>
      <c r="M43" s="111"/>
      <c r="N43" s="111"/>
      <c r="O43" s="111"/>
      <c r="P43" s="111"/>
      <c r="Q43" s="111"/>
      <c r="R43" s="112"/>
      <c r="S43" s="96" t="s">
        <v>26</v>
      </c>
      <c r="T43" s="98"/>
      <c r="U43" s="119" t="s">
        <v>13</v>
      </c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1"/>
    </row>
    <row r="44" spans="1:34" ht="15.75" thickBot="1" x14ac:dyDescent="0.3">
      <c r="A44" s="123"/>
      <c r="B44" s="125"/>
      <c r="C44" s="116"/>
      <c r="D44" s="13">
        <f>MOD(INT(D12/4),2)</f>
        <v>1</v>
      </c>
      <c r="E44" s="14">
        <f>MOD(INT(D12/2),2)</f>
        <v>1</v>
      </c>
      <c r="F44" s="15">
        <f>MOD(D12,2)</f>
        <v>0</v>
      </c>
      <c r="G44" s="99"/>
      <c r="H44" s="100"/>
      <c r="I44" s="101"/>
      <c r="J44" s="6">
        <f>MOD(INT(D11/246),2)</f>
        <v>1</v>
      </c>
      <c r="K44" s="18">
        <f>MOD(INT(D11/128),2)</f>
        <v>0</v>
      </c>
      <c r="L44" s="18">
        <f>MOD(INT(D11/64),2)</f>
        <v>0</v>
      </c>
      <c r="M44" s="14">
        <f>MOD(INT(D11/32),2)</f>
        <v>0</v>
      </c>
      <c r="N44" s="14">
        <f>MOD(INT(D11/16),2)</f>
        <v>1</v>
      </c>
      <c r="O44" s="16">
        <f>MOD(INT(D11/8),2)</f>
        <v>1</v>
      </c>
      <c r="P44" s="16">
        <f>MOD(INT(D11/4),2)</f>
        <v>0</v>
      </c>
      <c r="Q44" s="16">
        <f>MOD(INT(D11/2),2)</f>
        <v>0</v>
      </c>
      <c r="R44" s="17">
        <f>MOD(D11,2)</f>
        <v>0</v>
      </c>
      <c r="S44" s="99"/>
      <c r="T44" s="101"/>
      <c r="U44" s="13">
        <f>MOD(INT(D10/8192),2)</f>
        <v>0</v>
      </c>
      <c r="V44" s="14">
        <f>MOD(INT(D10/4096),2)</f>
        <v>1</v>
      </c>
      <c r="W44" s="14">
        <f>MOD(INT(D10/2048),2)</f>
        <v>1</v>
      </c>
      <c r="X44" s="14">
        <f>MOD(INT(D10/1024),2)</f>
        <v>0</v>
      </c>
      <c r="Y44" s="14">
        <f>MOD(INT(D10/512),2)</f>
        <v>0</v>
      </c>
      <c r="Z44" s="14">
        <f>MOD(INT(D10/256),2)</f>
        <v>0</v>
      </c>
      <c r="AA44" s="14">
        <f>MOD(INT(D10/128),2)</f>
        <v>0</v>
      </c>
      <c r="AB44" s="14">
        <f>MOD(INT(D10/64),2)</f>
        <v>1</v>
      </c>
      <c r="AC44" s="14">
        <f>MOD(INT(D10/32),2)</f>
        <v>1</v>
      </c>
      <c r="AD44" s="14">
        <f>MOD(INT(D10/16),2)</f>
        <v>0</v>
      </c>
      <c r="AE44" s="16">
        <f>MOD(INT(D10/8),2)</f>
        <v>0</v>
      </c>
      <c r="AF44" s="18">
        <f>MOD(INT(D10/4),2)</f>
        <v>0</v>
      </c>
      <c r="AG44" s="14">
        <f>MOD(INT(D10/2),2)</f>
        <v>0</v>
      </c>
      <c r="AH44" s="15">
        <f>MOD(D10,2)</f>
        <v>0</v>
      </c>
    </row>
    <row r="45" spans="1:34" ht="15.75" thickBot="1" x14ac:dyDescent="0.3">
      <c r="A45" s="1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20"/>
      <c r="AE45" s="19"/>
      <c r="AF45" s="19"/>
      <c r="AG45" s="19"/>
      <c r="AH45" s="19"/>
    </row>
    <row r="46" spans="1:34" ht="15.75" thickBot="1" x14ac:dyDescent="0.3">
      <c r="A46" s="92" t="s">
        <v>44</v>
      </c>
      <c r="B46" s="126" t="str">
        <f xml:space="preserve"> DEC2HEX(AH47 + AG47*2 + AF47*2^2 + AE47*2^3 + AD47*2^4 + AC47*2^5 + AB47*2^6 + AA47*2^7 + Z47*2^8 + Y47*2^9 + X47*2^10 + W47*2^11 + V47*2^12+ U47*2^13 + T47*2^14 + S47*2^15 + R47*2^16 + Q47*2^17 + P47*2^18 + O47*2^19 + N47*2^20 + M47*2^21 + L47*2^22 + K47*2^23 + J47*2^24 + I47*2^25 + H47*2^26 + G47*2^27 + F47*2^28 +  E47*2^29 +  D47*2^30 + C47*2^31,8)</f>
        <v>00450620</v>
      </c>
      <c r="C46" s="96" t="s">
        <v>26</v>
      </c>
      <c r="D46" s="97"/>
      <c r="E46" s="97"/>
      <c r="F46" s="97"/>
      <c r="G46" s="97"/>
      <c r="H46" s="97"/>
      <c r="I46" s="97"/>
      <c r="J46" s="98"/>
      <c r="K46" s="102" t="s">
        <v>12</v>
      </c>
      <c r="L46" s="113"/>
      <c r="M46" s="113"/>
      <c r="N46" s="103"/>
      <c r="O46" s="107" t="s">
        <v>11</v>
      </c>
      <c r="P46" s="108"/>
      <c r="Q46" s="108"/>
      <c r="R46" s="109"/>
      <c r="S46" s="96" t="s">
        <v>26</v>
      </c>
      <c r="T46" s="97"/>
      <c r="U46" s="97"/>
      <c r="V46" s="98"/>
      <c r="W46" s="102" t="s">
        <v>9</v>
      </c>
      <c r="X46" s="113"/>
      <c r="Y46" s="113"/>
      <c r="Z46" s="103"/>
      <c r="AA46" s="96" t="s">
        <v>26</v>
      </c>
      <c r="AB46" s="97"/>
      <c r="AC46" s="110" t="s">
        <v>8</v>
      </c>
      <c r="AD46" s="111"/>
      <c r="AE46" s="111"/>
      <c r="AF46" s="111"/>
      <c r="AG46" s="111"/>
      <c r="AH46" s="112"/>
    </row>
    <row r="47" spans="1:34" ht="15.75" thickBot="1" x14ac:dyDescent="0.3">
      <c r="A47" s="93"/>
      <c r="B47" s="127"/>
      <c r="C47" s="99"/>
      <c r="D47" s="100"/>
      <c r="E47" s="100"/>
      <c r="F47" s="100"/>
      <c r="G47" s="100"/>
      <c r="H47" s="100"/>
      <c r="I47" s="100"/>
      <c r="J47" s="101"/>
      <c r="K47" s="9">
        <f>MOD(INT(D17/8),2)</f>
        <v>0</v>
      </c>
      <c r="L47" s="7">
        <f>MOD(INT(D17/4),2)</f>
        <v>1</v>
      </c>
      <c r="M47" s="7">
        <f>MOD(INT(D17/2),2)</f>
        <v>0</v>
      </c>
      <c r="N47" s="8">
        <f>MOD(D17,2)</f>
        <v>0</v>
      </c>
      <c r="O47" s="9">
        <f>MOD(INT(D16/8),2)</f>
        <v>0</v>
      </c>
      <c r="P47" s="7">
        <f>MOD(INT(D16/4),2)</f>
        <v>1</v>
      </c>
      <c r="Q47" s="7">
        <f>MOD(INT(D16/2),2)</f>
        <v>0</v>
      </c>
      <c r="R47" s="8">
        <f>MOD(D16,2)</f>
        <v>1</v>
      </c>
      <c r="S47" s="99"/>
      <c r="T47" s="100"/>
      <c r="U47" s="100"/>
      <c r="V47" s="101"/>
      <c r="W47" s="9">
        <f>MOD(INT(D14/8),2)</f>
        <v>0</v>
      </c>
      <c r="X47" s="7">
        <f>MOD(INT(D14/4),2)</f>
        <v>1</v>
      </c>
      <c r="Y47" s="7">
        <f>MOD(INT(D14/2),2)</f>
        <v>1</v>
      </c>
      <c r="Z47" s="8">
        <f>MOD(D14,2)</f>
        <v>0</v>
      </c>
      <c r="AA47" s="99"/>
      <c r="AB47" s="100"/>
      <c r="AC47" s="6">
        <f>MOD(INT(D13/32),2)</f>
        <v>1</v>
      </c>
      <c r="AD47" s="10">
        <f>MOD(INT(D13/16),2)</f>
        <v>0</v>
      </c>
      <c r="AE47" s="45">
        <f>MOD(INT(D13/8),2)</f>
        <v>0</v>
      </c>
      <c r="AF47" s="7">
        <f>MOD(INT(D13/4),2)</f>
        <v>0</v>
      </c>
      <c r="AG47" s="7">
        <f>MOD(INT(D13/2),2)</f>
        <v>0</v>
      </c>
      <c r="AH47" s="8">
        <f>MOD(D13,2)</f>
        <v>0</v>
      </c>
    </row>
    <row r="48" spans="1:34" ht="15.75" thickBot="1" x14ac:dyDescent="0.3">
      <c r="A48" s="33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</row>
    <row r="49" spans="1:38" ht="15.75" thickBot="1" x14ac:dyDescent="0.3">
      <c r="A49" s="92" t="s">
        <v>100</v>
      </c>
      <c r="B49" s="126" t="str">
        <f xml:space="preserve"> DEC2HEX(AH50 + AG50*2 + AF50*2^2 + AE50*2^3 + AD50*2^4 + AC50*2^5 + AB50*2^6 + AA50*2^7 + Z50*2^8 + Y50*2^9 + X50*2^10 + W50*2^11 + V50*2^12+ U50*2^13 + T50*2^14 + S50*2^15 + R50*2^16 + Q50*2^17 + P50*2^18 + O50*2^19 + N50*2^20 + M50*2^21 + L50*2^22 + K50*2^23 + J50*2^24 + I50*2^25 + H50*2^26 + G50*2^27 + F50*2^28 +  E50*2^29 +  D50*2^30 + C50*2^31,8)</f>
        <v>00000D70</v>
      </c>
      <c r="C49" s="96" t="s">
        <v>26</v>
      </c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8"/>
      <c r="V49" s="4" t="s">
        <v>45</v>
      </c>
      <c r="W49" s="102" t="s">
        <v>46</v>
      </c>
      <c r="X49" s="113"/>
      <c r="Y49" s="103"/>
      <c r="Z49" s="22" t="s">
        <v>47</v>
      </c>
      <c r="AA49" s="115" t="s">
        <v>26</v>
      </c>
      <c r="AB49" s="102" t="s">
        <v>5</v>
      </c>
      <c r="AC49" s="113"/>
      <c r="AD49" s="103"/>
      <c r="AE49" s="115" t="s">
        <v>26</v>
      </c>
      <c r="AF49" s="22" t="s">
        <v>48</v>
      </c>
      <c r="AG49" s="102" t="s">
        <v>49</v>
      </c>
      <c r="AH49" s="103"/>
    </row>
    <row r="50" spans="1:38" ht="15.75" thickBot="1" x14ac:dyDescent="0.3">
      <c r="A50" s="93"/>
      <c r="B50" s="127"/>
      <c r="C50" s="99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1"/>
      <c r="V50" s="5">
        <v>0</v>
      </c>
      <c r="W50" s="9">
        <f>MOD(INT(F15/4),2)</f>
        <v>1</v>
      </c>
      <c r="X50" s="7">
        <f>MOD(INT(F15/2),2)</f>
        <v>1</v>
      </c>
      <c r="Y50" s="8">
        <f>MOD(F15,2)</f>
        <v>0</v>
      </c>
      <c r="Z50" s="5">
        <v>1</v>
      </c>
      <c r="AA50" s="116"/>
      <c r="AB50" s="9">
        <f>IF(D18&lt;12,MOD(INT((D18-4)/4),2),MOD(INT((D18-12)/4),2))</f>
        <v>1</v>
      </c>
      <c r="AC50" s="7">
        <f>IF(D18&lt;12,MOD(INT((D18-4)/2),2),MOD(INT((D18-12)/2),2))</f>
        <v>1</v>
      </c>
      <c r="AD50" s="8">
        <f>IF(D18&lt;12,MOD(D18-4,2),MOD(D18-12,2))</f>
        <v>1</v>
      </c>
      <c r="AE50" s="116"/>
      <c r="AF50" s="5">
        <f>IF(D18&lt;12,0,1)</f>
        <v>0</v>
      </c>
      <c r="AG50" s="9">
        <v>0</v>
      </c>
      <c r="AH50" s="8">
        <v>0</v>
      </c>
      <c r="AI50" s="36"/>
    </row>
    <row r="51" spans="1:38" ht="15.75" thickBot="1" x14ac:dyDescent="0.3">
      <c r="A51" s="33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</row>
    <row r="52" spans="1:38" ht="15.75" thickBot="1" x14ac:dyDescent="0.3">
      <c r="A52" s="92" t="s">
        <v>101</v>
      </c>
      <c r="B52" s="126" t="str">
        <f xml:space="preserve"> DEC2HEX(AH53 + AG53*2 + AF53*2^2 + AE53*2^3 + AD53*2^4 + AC53*2^5 + AB53*2^6 + AA53*2^7 + Z53*2^8 + Y53*2^9 + X53*2^10 + W53*2^11 + V53*2^12+ U53*2^13 + T53*2^14 + S53*2^15 + R53*2^16 + Q53*2^17 + P53*2^18 + O53*2^19 + N53*2^20 + M53*2^21 + L53*2^22 + K53*2^23 + J53*2^24 + I53*2^25 + H53*2^26 + G53*2^27 + F53*2^28 +  E53*2^29 +  D53*2^30 + C53*2^31,8)</f>
        <v>000000C0</v>
      </c>
      <c r="C52" s="96" t="s">
        <v>26</v>
      </c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8"/>
      <c r="V52" s="22" t="s">
        <v>50</v>
      </c>
      <c r="W52" s="22" t="s">
        <v>51</v>
      </c>
      <c r="X52" s="115" t="s">
        <v>26</v>
      </c>
      <c r="Y52" s="22" t="s">
        <v>60</v>
      </c>
      <c r="Z52" s="57" t="s">
        <v>26</v>
      </c>
      <c r="AA52" s="22" t="s">
        <v>128</v>
      </c>
      <c r="AB52" s="22" t="s">
        <v>61</v>
      </c>
      <c r="AC52" s="22" t="s">
        <v>52</v>
      </c>
      <c r="AD52" s="102" t="s">
        <v>7</v>
      </c>
      <c r="AE52" s="103"/>
      <c r="AF52" s="22" t="s">
        <v>62</v>
      </c>
      <c r="AG52" s="22" t="s">
        <v>53</v>
      </c>
      <c r="AH52" s="22" t="s">
        <v>54</v>
      </c>
    </row>
    <row r="53" spans="1:38" ht="15.75" thickBot="1" x14ac:dyDescent="0.3">
      <c r="A53" s="93"/>
      <c r="B53" s="127"/>
      <c r="C53" s="99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1"/>
      <c r="V53" s="5">
        <v>0</v>
      </c>
      <c r="W53" s="5">
        <v>0</v>
      </c>
      <c r="X53" s="116"/>
      <c r="Y53" s="5">
        <f>MOD(INT(D21/4),2)</f>
        <v>0</v>
      </c>
      <c r="Z53" s="58"/>
      <c r="AA53" s="5">
        <v>1</v>
      </c>
      <c r="AB53" s="5">
        <f>MOD(INT(D21/2),2)</f>
        <v>1</v>
      </c>
      <c r="AC53" s="5">
        <f>MOD(INT(D20/2),2)</f>
        <v>0</v>
      </c>
      <c r="AD53" s="9">
        <f>MOD(INT(D25/2),2)</f>
        <v>0</v>
      </c>
      <c r="AE53" s="8">
        <f>MOD(D25,2)</f>
        <v>0</v>
      </c>
      <c r="AF53" s="5">
        <f>MOD(D21,2)</f>
        <v>0</v>
      </c>
      <c r="AG53" s="5">
        <f>MOD(D20,2)</f>
        <v>0</v>
      </c>
      <c r="AH53" s="5">
        <v>0</v>
      </c>
    </row>
    <row r="54" spans="1:38" ht="15.75" thickBot="1" x14ac:dyDescent="0.3">
      <c r="A54" s="33"/>
      <c r="B54" s="21"/>
      <c r="C54" s="21"/>
      <c r="D54" s="21"/>
      <c r="E54" s="23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</row>
    <row r="55" spans="1:38" ht="15.75" thickBot="1" x14ac:dyDescent="0.3">
      <c r="A55" s="92" t="s">
        <v>102</v>
      </c>
      <c r="B55" s="94" t="str">
        <f xml:space="preserve"> DEC2HEX(AH56 + AG56*2 + AF56*2^2 + AE56*2^3 + AD56*2^4 + AC56*2^5 + AB56*2^6 + AA56*2^7 + Z56*2^8 + Y56*2^9 + X56*2^10 + W56*2^11 + V56*2^12+ U56*2^13 + T56*2^14 + S56*2^15 + R56*2^16 + Q56*2^17 + P56*2^18 + O56*2^19 + N56*2^20 + M56*2^21 + L56*2^22 + K56*2^23 + J56*2^24 + I56*2^25 + H56*2^26 + G56*2^27 + F56*2^28 +  E56*2^29 +  D56*2^30 + C56*2^31,8)</f>
        <v>00000018</v>
      </c>
      <c r="C55" s="96" t="s">
        <v>26</v>
      </c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8"/>
      <c r="Z55" s="117" t="s">
        <v>26</v>
      </c>
      <c r="AA55" s="4" t="s">
        <v>55</v>
      </c>
      <c r="AB55" s="4" t="s">
        <v>56</v>
      </c>
      <c r="AC55" s="102" t="s">
        <v>22</v>
      </c>
      <c r="AD55" s="113"/>
      <c r="AE55" s="114"/>
      <c r="AF55" s="104" t="s">
        <v>70</v>
      </c>
      <c r="AG55" s="105"/>
      <c r="AH55" s="106"/>
    </row>
    <row r="56" spans="1:38" ht="15.75" thickBot="1" x14ac:dyDescent="0.3">
      <c r="A56" s="93"/>
      <c r="B56" s="95"/>
      <c r="C56" s="99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1"/>
      <c r="Z56" s="118"/>
      <c r="AA56" s="5">
        <v>0</v>
      </c>
      <c r="AB56" s="5">
        <v>0</v>
      </c>
      <c r="AC56" s="9">
        <f>MOD(INT(D26/4),2)</f>
        <v>0</v>
      </c>
      <c r="AD56" s="7">
        <f>MOD(INT(D26/2),2)</f>
        <v>1</v>
      </c>
      <c r="AE56" s="8">
        <f>MOD(D26,2)</f>
        <v>1</v>
      </c>
      <c r="AF56" s="24">
        <v>0</v>
      </c>
      <c r="AG56" s="25">
        <v>0</v>
      </c>
      <c r="AH56" s="26">
        <v>0</v>
      </c>
      <c r="AI56" s="36"/>
      <c r="AJ56" s="36"/>
      <c r="AK56" s="36"/>
      <c r="AL56" s="36"/>
    </row>
    <row r="57" spans="1:38" ht="15.75" thickBot="1" x14ac:dyDescent="0.3">
      <c r="A57" s="34"/>
      <c r="B57" s="1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8"/>
      <c r="Y57" s="29"/>
      <c r="Z57" s="27"/>
      <c r="AA57" s="29"/>
      <c r="AB57" s="29"/>
      <c r="AC57" s="29"/>
      <c r="AD57" s="29"/>
      <c r="AE57" s="29"/>
      <c r="AF57" s="29"/>
      <c r="AG57" s="29"/>
      <c r="AH57" s="29"/>
      <c r="AI57" s="36"/>
      <c r="AJ57" s="36"/>
      <c r="AK57" s="36"/>
      <c r="AL57" s="36"/>
    </row>
    <row r="58" spans="1:38" ht="15.75" thickBot="1" x14ac:dyDescent="0.3">
      <c r="A58" s="92" t="s">
        <v>129</v>
      </c>
      <c r="B58" s="94" t="str">
        <f xml:space="preserve"> DEC2HEX(AH59 + AG59*2 + AF59*2^2 + AE59*2^3 + AD59*2^4 + AC59*2^5 + AB59*2^6 + AA59*2^7 + Z59*2^8 + Y59*2^9 + X59*2^10 + W59*2^11 + V59*2^12+ U59*2^13 + T59*2^14 + S59*2^15 + R59*2^16 + Q59*2^17 + P59*2^18 + O59*2^19 + N59*2^20 + M59*2^21 + L59*2^22 + K59*2^23 + J59*2^24 + I59*2^25 + H59*2^26 + G59*2^27 + F59*2^28 +  E59*2^29 +  D59*2^30 + C59*2^31,8)</f>
        <v>00000004</v>
      </c>
      <c r="C58" s="96" t="s">
        <v>26</v>
      </c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8"/>
      <c r="AF58" s="22" t="s">
        <v>130</v>
      </c>
      <c r="AG58" s="102" t="s">
        <v>131</v>
      </c>
      <c r="AH58" s="103"/>
      <c r="AI58" s="36"/>
      <c r="AJ58" s="36"/>
      <c r="AK58" s="36"/>
      <c r="AL58" s="36"/>
    </row>
    <row r="59" spans="1:38" ht="15.75" thickBot="1" x14ac:dyDescent="0.3">
      <c r="A59" s="93"/>
      <c r="B59" s="95"/>
      <c r="C59" s="99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1"/>
      <c r="AF59" s="5">
        <v>1</v>
      </c>
      <c r="AG59" s="9">
        <v>0</v>
      </c>
      <c r="AH59" s="8">
        <v>0</v>
      </c>
      <c r="AI59" s="36"/>
      <c r="AJ59" s="36"/>
      <c r="AK59" s="36"/>
      <c r="AL59" s="36"/>
    </row>
    <row r="60" spans="1:38" ht="15.75" thickBot="1" x14ac:dyDescent="0.3">
      <c r="A60" s="1"/>
      <c r="B60" s="19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3"/>
      <c r="Y60" s="64"/>
      <c r="Z60" s="62"/>
      <c r="AA60" s="64"/>
      <c r="AB60" s="64"/>
      <c r="AC60" s="64"/>
      <c r="AD60" s="64"/>
      <c r="AE60" s="64"/>
      <c r="AF60" s="64"/>
      <c r="AG60" s="64"/>
      <c r="AH60" s="64"/>
      <c r="AI60" s="36"/>
      <c r="AJ60" s="36"/>
      <c r="AK60" s="36"/>
      <c r="AL60" s="36"/>
    </row>
    <row r="61" spans="1:38" ht="15.75" thickBot="1" x14ac:dyDescent="0.3">
      <c r="A61" s="92" t="s">
        <v>109</v>
      </c>
      <c r="B61" s="94" t="str">
        <f xml:space="preserve"> DEC2HEX(AH62 + AG62*2 + AF62*2^2 + AE62*2^3 + AD62*2^4 + AC62*2^5 + AB62*2^6 + AA62*2^7 + Z62*2^8 + Y62*2^9 + X62*2^10 + W62*2^11 + V62*2^12+ U62*2^13 + T62*2^14 + S62*2^15 + R62*2^16 + Q62*2^17 + P62*2^18 + O62*2^19 + N62*2^20 + M62*2^21 + L62*2^22 + K62*2^23 + J62*2^24 + I62*2^25 + H62*2^26 + G62*2^27 + F62*2^28 +  E62*2^29 +  D62*2^30 + C62*2^31,8)</f>
        <v>00785A64</v>
      </c>
      <c r="C61" s="96" t="s">
        <v>26</v>
      </c>
      <c r="D61" s="97"/>
      <c r="E61" s="97"/>
      <c r="F61" s="97"/>
      <c r="G61" s="97"/>
      <c r="H61" s="97"/>
      <c r="I61" s="97"/>
      <c r="J61" s="98"/>
      <c r="K61" s="107" t="s">
        <v>57</v>
      </c>
      <c r="L61" s="108"/>
      <c r="M61" s="108"/>
      <c r="N61" s="108"/>
      <c r="O61" s="108"/>
      <c r="P61" s="108"/>
      <c r="Q61" s="108"/>
      <c r="R61" s="109"/>
      <c r="S61" s="102" t="s">
        <v>58</v>
      </c>
      <c r="T61" s="113"/>
      <c r="U61" s="113"/>
      <c r="V61" s="113"/>
      <c r="W61" s="113"/>
      <c r="X61" s="113"/>
      <c r="Y61" s="113"/>
      <c r="Z61" s="103"/>
      <c r="AA61" s="102" t="s">
        <v>59</v>
      </c>
      <c r="AB61" s="113"/>
      <c r="AC61" s="113"/>
      <c r="AD61" s="113"/>
      <c r="AE61" s="113"/>
      <c r="AF61" s="113"/>
      <c r="AG61" s="113"/>
      <c r="AH61" s="103"/>
    </row>
    <row r="62" spans="1:38" ht="15.75" thickBot="1" x14ac:dyDescent="0.3">
      <c r="A62" s="93"/>
      <c r="B62" s="95"/>
      <c r="C62" s="99"/>
      <c r="D62" s="100"/>
      <c r="E62" s="100"/>
      <c r="F62" s="100"/>
      <c r="G62" s="100"/>
      <c r="H62" s="100"/>
      <c r="I62" s="100"/>
      <c r="J62" s="101"/>
      <c r="K62" s="9">
        <f>MOD(INT(D24/128),2)</f>
        <v>0</v>
      </c>
      <c r="L62" s="7">
        <f>MOD(INT(D24/64),2)</f>
        <v>1</v>
      </c>
      <c r="M62" s="7">
        <f>MOD(INT(D24/32),2)</f>
        <v>1</v>
      </c>
      <c r="N62" s="7">
        <f>MOD(INT(D24/16),2)</f>
        <v>1</v>
      </c>
      <c r="O62" s="7">
        <f>MOD(INT(D24/8),2)</f>
        <v>1</v>
      </c>
      <c r="P62" s="7">
        <f>MOD(INT(D24/4),2)</f>
        <v>0</v>
      </c>
      <c r="Q62" s="7">
        <f>MOD(INT(D24/2),2)</f>
        <v>0</v>
      </c>
      <c r="R62" s="8">
        <f>MOD(D24,2)</f>
        <v>0</v>
      </c>
      <c r="S62" s="9">
        <f>MOD(INT(D23/128),2)</f>
        <v>0</v>
      </c>
      <c r="T62" s="7">
        <f>MOD(INT(D23/64),2)</f>
        <v>1</v>
      </c>
      <c r="U62" s="7">
        <f>MOD(INT(D23/32),2)</f>
        <v>0</v>
      </c>
      <c r="V62" s="7">
        <f>MOD(INT(D23/16),2)</f>
        <v>1</v>
      </c>
      <c r="W62" s="7">
        <f>MOD(INT(D23/8),2)</f>
        <v>1</v>
      </c>
      <c r="X62" s="7">
        <f>MOD(INT(D23/4),2)</f>
        <v>0</v>
      </c>
      <c r="Y62" s="7">
        <f>MOD(INT(D23/2),2)</f>
        <v>1</v>
      </c>
      <c r="Z62" s="8">
        <f>MOD(D23,2)</f>
        <v>0</v>
      </c>
      <c r="AA62" s="9">
        <f>MOD(INT(D22/128),2)</f>
        <v>0</v>
      </c>
      <c r="AB62" s="7">
        <f>MOD(INT(D22/64),2)</f>
        <v>1</v>
      </c>
      <c r="AC62" s="7">
        <f>MOD(INT(D22/32),2)</f>
        <v>1</v>
      </c>
      <c r="AD62" s="7">
        <f>MOD(INT(D22/16),2)</f>
        <v>0</v>
      </c>
      <c r="AE62" s="7">
        <f>MOD(INT(D22/8),2)</f>
        <v>0</v>
      </c>
      <c r="AF62" s="7">
        <f>MOD(INT(D22/4),2)</f>
        <v>1</v>
      </c>
      <c r="AG62" s="7">
        <f>MOD(INT(D22/2),2)</f>
        <v>0</v>
      </c>
      <c r="AH62" s="8">
        <f>MOD(D22,2)</f>
        <v>0</v>
      </c>
    </row>
    <row r="63" spans="1:38" ht="15.75" thickBot="1" x14ac:dyDescent="0.3">
      <c r="A63" s="41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</row>
    <row r="64" spans="1:38" ht="15.75" thickBot="1" x14ac:dyDescent="0.3">
      <c r="A64" s="92" t="s">
        <v>110</v>
      </c>
      <c r="B64" s="94" t="str">
        <f xml:space="preserve"> DEC2HEX(AH65 + AG65*2 + AF65*2^2 + AE65*2^3 + AD65*2^4 + AC65*2^5 + AB65*2^6 + AA65*2^7 + Z65*2^8 + Y65*2^9 + X65*2^10 + W65*2^11 + V65*2^12+ U65*2^13 + T65*2^14 + S65*2^15 + R65*2^16 + Q65*2^17 + P65*2^18 + O65*2^19 + N65*2^20 + M65*2^21 + L65*2^22 + K65*2^23 + J65*2^24 + I65*2^25 + H65*2^26 + G65*2^27 + F65*2^28 +  E65*2^29 +  D65*2^30 + C65*2^31,8)</f>
        <v>00000000</v>
      </c>
      <c r="C64" s="96" t="s">
        <v>26</v>
      </c>
      <c r="D64" s="97"/>
      <c r="E64" s="97"/>
      <c r="F64" s="97"/>
      <c r="G64" s="97"/>
      <c r="H64" s="97"/>
      <c r="I64" s="97"/>
      <c r="J64" s="97"/>
      <c r="K64" s="98"/>
      <c r="L64" s="22" t="s">
        <v>115</v>
      </c>
      <c r="M64" s="96" t="s">
        <v>26</v>
      </c>
      <c r="N64" s="97"/>
      <c r="O64" s="97"/>
      <c r="P64" s="97"/>
      <c r="Q64" s="97"/>
      <c r="R64" s="97"/>
      <c r="S64" s="97"/>
      <c r="T64" s="97"/>
      <c r="U64" s="98"/>
      <c r="V64" s="22" t="s">
        <v>114</v>
      </c>
      <c r="W64" s="107" t="s">
        <v>113</v>
      </c>
      <c r="X64" s="108"/>
      <c r="Y64" s="108"/>
      <c r="Z64" s="108"/>
      <c r="AA64" s="108"/>
      <c r="AB64" s="109"/>
      <c r="AC64" s="107" t="s">
        <v>112</v>
      </c>
      <c r="AD64" s="108"/>
      <c r="AE64" s="108"/>
      <c r="AF64" s="108"/>
      <c r="AG64" s="108"/>
      <c r="AH64" s="109"/>
    </row>
    <row r="65" spans="1:36" ht="15.75" thickBot="1" x14ac:dyDescent="0.3">
      <c r="A65" s="93"/>
      <c r="B65" s="95"/>
      <c r="C65" s="99"/>
      <c r="D65" s="100"/>
      <c r="E65" s="100"/>
      <c r="F65" s="100"/>
      <c r="G65" s="100"/>
      <c r="H65" s="100"/>
      <c r="I65" s="100"/>
      <c r="J65" s="100"/>
      <c r="K65" s="101"/>
      <c r="L65" s="5">
        <v>0</v>
      </c>
      <c r="M65" s="99"/>
      <c r="N65" s="100"/>
      <c r="O65" s="100"/>
      <c r="P65" s="100"/>
      <c r="Q65" s="100"/>
      <c r="R65" s="100"/>
      <c r="S65" s="100"/>
      <c r="T65" s="100"/>
      <c r="U65" s="101"/>
      <c r="V65" s="5">
        <v>0</v>
      </c>
      <c r="W65" s="6">
        <v>0</v>
      </c>
      <c r="X65" s="10">
        <v>0</v>
      </c>
      <c r="Y65" s="10">
        <v>0</v>
      </c>
      <c r="Z65" s="10">
        <v>0</v>
      </c>
      <c r="AA65" s="10">
        <v>0</v>
      </c>
      <c r="AB65" s="12">
        <v>0</v>
      </c>
      <c r="AC65" s="6">
        <v>0</v>
      </c>
      <c r="AD65" s="10">
        <v>0</v>
      </c>
      <c r="AE65" s="10">
        <v>0</v>
      </c>
      <c r="AF65" s="10">
        <v>0</v>
      </c>
      <c r="AG65" s="10">
        <v>0</v>
      </c>
      <c r="AH65" s="12">
        <v>0</v>
      </c>
    </row>
    <row r="66" spans="1:36" ht="15.75" thickBot="1" x14ac:dyDescent="0.3">
      <c r="A66" s="41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</row>
    <row r="67" spans="1:36" ht="15.75" customHeight="1" thickBot="1" x14ac:dyDescent="0.3">
      <c r="A67" s="92" t="s">
        <v>111</v>
      </c>
      <c r="B67" s="94" t="str">
        <f xml:space="preserve"> DEC2HEX(AH68+ AG68*2 + AF68*2^2 + AE68*2^3 + AD68*2^4 + AC68*2^5 + AB68*2^6 + AA68*2^7 + Z68*2^8 + Y68*2^9 + X68*2^10 + W68*2^11 + V68*2^12+ U68*2^13 + T68*2^14 + S68*2^15 + R68*2^16 + Q68*2^17 + P68*2^18 + O68*2^19 + N68*2^20 + M68*2^21 + L68*2^22 + K68*2^23 + J68*2^24 + I68*2^25 + H68*2^26 + G68*2^27 + F68*2^28 +  E68*2^29 +  D68*2^30 + C68*2^31,8)</f>
        <v>70000000</v>
      </c>
      <c r="C67" s="115" t="s">
        <v>26</v>
      </c>
      <c r="D67" s="59" t="s">
        <v>126</v>
      </c>
      <c r="E67" s="59" t="s">
        <v>125</v>
      </c>
      <c r="F67" s="59" t="s">
        <v>124</v>
      </c>
      <c r="G67" s="59" t="s">
        <v>123</v>
      </c>
      <c r="H67" s="107" t="s">
        <v>122</v>
      </c>
      <c r="I67" s="108"/>
      <c r="J67" s="108"/>
      <c r="K67" s="108"/>
      <c r="L67" s="108"/>
      <c r="M67" s="109"/>
      <c r="N67" s="107" t="s">
        <v>121</v>
      </c>
      <c r="O67" s="108"/>
      <c r="P67" s="108"/>
      <c r="Q67" s="108"/>
      <c r="R67" s="108"/>
      <c r="S67" s="109"/>
      <c r="T67" s="107" t="s">
        <v>120</v>
      </c>
      <c r="U67" s="108"/>
      <c r="V67" s="108"/>
      <c r="W67" s="108"/>
      <c r="X67" s="108"/>
      <c r="Y67" s="109"/>
      <c r="Z67" s="107" t="s">
        <v>119</v>
      </c>
      <c r="AA67" s="108"/>
      <c r="AB67" s="108"/>
      <c r="AC67" s="108"/>
      <c r="AD67" s="108"/>
      <c r="AE67" s="109"/>
      <c r="AF67" s="59" t="s">
        <v>118</v>
      </c>
      <c r="AG67" s="59" t="s">
        <v>117</v>
      </c>
      <c r="AH67" s="60" t="s">
        <v>116</v>
      </c>
    </row>
    <row r="68" spans="1:36" ht="15.75" thickBot="1" x14ac:dyDescent="0.3">
      <c r="A68" s="93"/>
      <c r="B68" s="95"/>
      <c r="C68" s="116"/>
      <c r="D68" s="32">
        <v>1</v>
      </c>
      <c r="E68" s="32">
        <v>1</v>
      </c>
      <c r="F68" s="32">
        <v>1</v>
      </c>
      <c r="G68" s="32">
        <v>0</v>
      </c>
      <c r="H68" s="30">
        <v>0</v>
      </c>
      <c r="I68" s="31">
        <v>0</v>
      </c>
      <c r="J68" s="31">
        <v>0</v>
      </c>
      <c r="K68" s="31">
        <v>0</v>
      </c>
      <c r="L68" s="31">
        <v>0</v>
      </c>
      <c r="M68" s="32">
        <v>0</v>
      </c>
      <c r="N68" s="30">
        <v>0</v>
      </c>
      <c r="O68" s="31">
        <v>0</v>
      </c>
      <c r="P68" s="31">
        <v>0</v>
      </c>
      <c r="Q68" s="31">
        <v>0</v>
      </c>
      <c r="R68" s="31">
        <v>0</v>
      </c>
      <c r="S68" s="32">
        <v>0</v>
      </c>
      <c r="T68" s="30">
        <v>0</v>
      </c>
      <c r="U68" s="31">
        <v>0</v>
      </c>
      <c r="V68" s="31">
        <v>0</v>
      </c>
      <c r="W68" s="31">
        <v>0</v>
      </c>
      <c r="X68" s="31">
        <v>0</v>
      </c>
      <c r="Y68" s="32">
        <v>0</v>
      </c>
      <c r="Z68" s="30">
        <v>0</v>
      </c>
      <c r="AA68" s="31">
        <v>0</v>
      </c>
      <c r="AB68" s="31">
        <v>0</v>
      </c>
      <c r="AC68" s="31">
        <v>0</v>
      </c>
      <c r="AD68" s="31">
        <v>0</v>
      </c>
      <c r="AE68" s="32">
        <v>0</v>
      </c>
      <c r="AF68" s="32">
        <v>0</v>
      </c>
      <c r="AG68" s="32">
        <v>0</v>
      </c>
      <c r="AH68" s="32">
        <v>0</v>
      </c>
    </row>
    <row r="70" spans="1:36" ht="15.75" thickBot="1" x14ac:dyDescent="0.3"/>
    <row r="71" spans="1:36" ht="15.75" thickBot="1" x14ac:dyDescent="0.3">
      <c r="A71" s="65" t="s">
        <v>132</v>
      </c>
      <c r="B71" s="65" t="s">
        <v>143</v>
      </c>
      <c r="AI71" s="43"/>
      <c r="AJ71" s="44"/>
    </row>
    <row r="72" spans="1:36" ht="15.75" thickBot="1" x14ac:dyDescent="0.3">
      <c r="A72" s="66" t="s">
        <v>133</v>
      </c>
      <c r="B72" s="69" t="str">
        <f xml:space="preserve"> DEC2HEX(HEX2DEC(B37)*2^16 + HEX2DEC(B34))</f>
        <v>CF00722</v>
      </c>
    </row>
    <row r="73" spans="1:36" ht="15.75" thickBot="1" x14ac:dyDescent="0.3">
      <c r="A73" s="67" t="s">
        <v>134</v>
      </c>
      <c r="B73" s="69" t="str">
        <f xml:space="preserve"> DEC2HEX(HEX2DEC(B55)*2^16 + HEX2DEC(B58))</f>
        <v>180004</v>
      </c>
    </row>
    <row r="74" spans="1:36" ht="15.75" thickBot="1" x14ac:dyDescent="0.3">
      <c r="A74" s="66" t="s">
        <v>135</v>
      </c>
      <c r="B74" s="69" t="str">
        <f xml:space="preserve"> DEC2HEX(HEX2DEC(B31))</f>
        <v>8000A05</v>
      </c>
    </row>
    <row r="75" spans="1:36" ht="15.75" thickBot="1" x14ac:dyDescent="0.3">
      <c r="A75" s="67" t="s">
        <v>136</v>
      </c>
      <c r="B75" s="69" t="str">
        <f xml:space="preserve"> DEC2HEX(HEX2DEC(B49)*2^16 + HEX2DEC(B52))</f>
        <v>D7000C0</v>
      </c>
    </row>
    <row r="76" spans="1:36" ht="15.75" thickBot="1" x14ac:dyDescent="0.3">
      <c r="A76" s="66" t="s">
        <v>137</v>
      </c>
      <c r="B76" s="69" t="str">
        <f xml:space="preserve"> DEC2HEX(HEX2DEC(B40))</f>
        <v>4271CB6B</v>
      </c>
    </row>
    <row r="77" spans="1:36" ht="15.75" thickBot="1" x14ac:dyDescent="0.3">
      <c r="A77" s="67" t="s">
        <v>138</v>
      </c>
      <c r="B77" s="69" t="str">
        <f xml:space="preserve"> DEC2HEX(HEX2DEC(B43))</f>
        <v>61181860</v>
      </c>
    </row>
    <row r="78" spans="1:36" ht="15.75" thickBot="1" x14ac:dyDescent="0.3">
      <c r="A78" s="66" t="s">
        <v>139</v>
      </c>
      <c r="B78" s="69" t="str">
        <f xml:space="preserve"> DEC2HEX(HEX2DEC(B46))</f>
        <v>450620</v>
      </c>
    </row>
    <row r="79" spans="1:36" ht="15.75" thickBot="1" x14ac:dyDescent="0.3">
      <c r="A79" s="67" t="s">
        <v>140</v>
      </c>
      <c r="B79" s="69" t="str">
        <f xml:space="preserve"> DEC2HEX(HEX2DEC(B61))</f>
        <v>785A64</v>
      </c>
    </row>
    <row r="80" spans="1:36" ht="15.75" thickBot="1" x14ac:dyDescent="0.3">
      <c r="A80" s="66" t="s">
        <v>141</v>
      </c>
      <c r="B80" s="69" t="str">
        <f xml:space="preserve"> DEC2HEX(HEX2DEC(B64))</f>
        <v>0</v>
      </c>
    </row>
    <row r="81" spans="1:2" ht="15.75" thickBot="1" x14ac:dyDescent="0.3">
      <c r="A81" s="68" t="s">
        <v>142</v>
      </c>
      <c r="B81" s="69" t="str">
        <f xml:space="preserve"> DEC2HEX(HEX2DEC(B67))</f>
        <v>70000000</v>
      </c>
    </row>
  </sheetData>
  <dataConsolidate/>
  <mergeCells count="88">
    <mergeCell ref="Z67:AE67"/>
    <mergeCell ref="T67:Y67"/>
    <mergeCell ref="N67:S67"/>
    <mergeCell ref="H67:M67"/>
    <mergeCell ref="C67:C68"/>
    <mergeCell ref="A67:A68"/>
    <mergeCell ref="B67:B68"/>
    <mergeCell ref="A61:A62"/>
    <mergeCell ref="B61:B62"/>
    <mergeCell ref="A64:A65"/>
    <mergeCell ref="B64:B65"/>
    <mergeCell ref="A31:A32"/>
    <mergeCell ref="B31:B32"/>
    <mergeCell ref="A40:A41"/>
    <mergeCell ref="B40:B41"/>
    <mergeCell ref="A34:A35"/>
    <mergeCell ref="B34:B35"/>
    <mergeCell ref="A37:A38"/>
    <mergeCell ref="B37:B38"/>
    <mergeCell ref="W46:Z46"/>
    <mergeCell ref="K31:T32"/>
    <mergeCell ref="AA40:AD40"/>
    <mergeCell ref="AE40:AH40"/>
    <mergeCell ref="I40:N40"/>
    <mergeCell ref="R40:V40"/>
    <mergeCell ref="S34:V34"/>
    <mergeCell ref="W34:Z34"/>
    <mergeCell ref="U43:AH43"/>
    <mergeCell ref="S43:T44"/>
    <mergeCell ref="AA34:AD34"/>
    <mergeCell ref="K46:N46"/>
    <mergeCell ref="C34:R35"/>
    <mergeCell ref="W37:Z37"/>
    <mergeCell ref="AA37:AH37"/>
    <mergeCell ref="C37:V38"/>
    <mergeCell ref="C61:J62"/>
    <mergeCell ref="AD52:AE52"/>
    <mergeCell ref="AB49:AD49"/>
    <mergeCell ref="AA49:AA50"/>
    <mergeCell ref="AE49:AE50"/>
    <mergeCell ref="A43:A44"/>
    <mergeCell ref="B43:B44"/>
    <mergeCell ref="D43:F43"/>
    <mergeCell ref="O46:R46"/>
    <mergeCell ref="A52:A53"/>
    <mergeCell ref="C46:J47"/>
    <mergeCell ref="B52:B53"/>
    <mergeCell ref="C49:U50"/>
    <mergeCell ref="C43:C44"/>
    <mergeCell ref="A46:A47"/>
    <mergeCell ref="A49:A50"/>
    <mergeCell ref="B49:B50"/>
    <mergeCell ref="B46:B47"/>
    <mergeCell ref="G43:I44"/>
    <mergeCell ref="J43:R43"/>
    <mergeCell ref="AG31:AG32"/>
    <mergeCell ref="AC31:AC32"/>
    <mergeCell ref="C31:F32"/>
    <mergeCell ref="W40:Z40"/>
    <mergeCell ref="W31:Y31"/>
    <mergeCell ref="G40:H41"/>
    <mergeCell ref="O40:Q41"/>
    <mergeCell ref="C40:F40"/>
    <mergeCell ref="AE34:AH34"/>
    <mergeCell ref="AC64:AH64"/>
    <mergeCell ref="W64:AB64"/>
    <mergeCell ref="C64:K65"/>
    <mergeCell ref="M64:U65"/>
    <mergeCell ref="AA46:AB47"/>
    <mergeCell ref="AC46:AH46"/>
    <mergeCell ref="S46:V47"/>
    <mergeCell ref="K61:R61"/>
    <mergeCell ref="AC55:AE55"/>
    <mergeCell ref="C52:U53"/>
    <mergeCell ref="X52:X53"/>
    <mergeCell ref="Z55:Z56"/>
    <mergeCell ref="W49:Y49"/>
    <mergeCell ref="AG49:AH49"/>
    <mergeCell ref="S61:Z61"/>
    <mergeCell ref="AA61:AH61"/>
    <mergeCell ref="A58:A59"/>
    <mergeCell ref="B58:B59"/>
    <mergeCell ref="C58:AE59"/>
    <mergeCell ref="AG58:AH58"/>
    <mergeCell ref="C55:Y56"/>
    <mergeCell ref="A55:A56"/>
    <mergeCell ref="B55:B56"/>
    <mergeCell ref="AF55:AH55"/>
  </mergeCells>
  <dataValidations xWindow="365" yWindow="716" count="27">
    <dataValidation type="list" allowBlank="1" showInputMessage="1" showErrorMessage="1" sqref="C11:C17 C4:C9" xr:uid="{00000000-0002-0000-0000-000001000000}">
      <formula1>$G$11:$G$12</formula1>
    </dataValidation>
    <dataValidation type="list" allowBlank="1" showInputMessage="1" showErrorMessage="1" prompt="Enter the DDR memory size in Mega Bytes" sqref="B3" xr:uid="{00000000-0002-0000-0000-000002000000}">
      <formula1>$H$12:$H$16</formula1>
    </dataValidation>
    <dataValidation type="list" allowBlank="1" showInputMessage="1" showErrorMessage="1" prompt="Enter additive latency value as per the DDR3 memory device data sheet. Note that this option only affects efficiency and functionally &quot;AL Disabled&quot; should work. If selecting any other option, make sure that AL is always &gt;= tRCD(min)-1. " sqref="B25" xr:uid="{00000000-0002-0000-0000-000003000000}">
      <formula1>$J$12:$J$14</formula1>
    </dataValidation>
    <dataValidation type="list" allowBlank="1" showInputMessage="1" showErrorMessage="1" prompt="Enter write latency value (CWL) from the DDR3 device data sheet" sqref="B26" xr:uid="{00000000-0002-0000-0000-000004000000}">
      <formula1>$K$12:$K$19</formula1>
    </dataValidation>
    <dataValidation type="list" allowBlank="1" showInputMessage="1" showErrorMessage="1" prompt="Enter CAS latency (CL) value from the DDR3 device data sheet" sqref="B18" xr:uid="{00000000-0002-0000-0000-000005000000}">
      <formula1>$I$12:$I$21</formula1>
    </dataValidation>
    <dataValidation type="list" allowBlank="1" showInputMessage="1" showErrorMessage="1" prompt="Select the output drive strength from memory end" sqref="B20" xr:uid="{00000000-0002-0000-0000-000006000000}">
      <formula1>$H$25:$H$26</formula1>
    </dataValidation>
    <dataValidation type="list" allowBlank="1" showInputMessage="1" showErrorMessage="1" prompt="Select On Die Termination (ODT) value for the DQ, DQS, and DM pads from memory side. Note that the values RZQ/12(20 ohms) and RZQ/8(30 ohms) are not supported if they are used for ODT during writes" sqref="B21" xr:uid="{00000000-0002-0000-0000-000007000000}">
      <formula1>$J$3:$J$8</formula1>
    </dataValidation>
    <dataValidation type="decimal" allowBlank="1" showInputMessage="1" showErrorMessage="1" error="The DCLK value should be between 300 MHz to 450 MHz" prompt="Enter DCLK value in MHz (between 300-800 MHz)" sqref="B2" xr:uid="{00000000-0002-0000-0000-000008000000}">
      <formula1>300</formula1>
      <formula2>800</formula2>
    </dataValidation>
    <dataValidation allowBlank="1" showInputMessage="1" showErrorMessage="1" prompt="Enter tRCD(min) from the DDR3 device data sheet" sqref="B4" xr:uid="{00000000-0002-0000-0000-000009000000}"/>
    <dataValidation allowBlank="1" showInputMessage="1" showErrorMessage="1" prompt="Enter tWTR(min) from the DDR3 device data sheet" sqref="B5" xr:uid="{00000000-0002-0000-0000-00000A000000}"/>
    <dataValidation allowBlank="1" showInputMessage="1" showErrorMessage="1" prompt="Enter tRP(min) from the DDR3 device data sheet" sqref="B6" xr:uid="{00000000-0002-0000-0000-00000B000000}"/>
    <dataValidation allowBlank="1" showInputMessage="1" showErrorMessage="1" prompt="Enter tRAS(min) from the DDR3 device data sheet" sqref="B7" xr:uid="{00000000-0002-0000-0000-00000C000000}"/>
    <dataValidation allowBlank="1" showInputMessage="1" showErrorMessage="1" prompt="Enter tRC(min) from the DDR3 device data sheet" sqref="B8" xr:uid="{00000000-0002-0000-0000-00000D000000}"/>
    <dataValidation allowBlank="1" showInputMessage="1" showErrorMessage="1" prompt="Enter tMRD(min) from the DDR3 device data sheet" sqref="B9" xr:uid="{00000000-0002-0000-0000-00000E000000}"/>
    <dataValidation allowBlank="1" showInputMessage="1" showErrorMessage="1" prompt="Enter tREFI(max) from the DDR3 device data sheet" sqref="B10" xr:uid="{00000000-0002-0000-0000-00000F000000}"/>
    <dataValidation allowBlank="1" showInputMessage="1" showErrorMessage="1" prompt="Enter tRFC(min) from the DDR3 device data sheet" sqref="B11" xr:uid="{00000000-0002-0000-0000-000010000000}"/>
    <dataValidation allowBlank="1" showInputMessage="1" showErrorMessage="1" prompt="Enter tRRD(min) from the DDR3 device data sheet" sqref="B12" xr:uid="{00000000-0002-0000-0000-000011000000}"/>
    <dataValidation allowBlank="1" showInputMessage="1" showErrorMessage="1" prompt="Enter tFAW(min) from the DDR3 device data sheet" sqref="B13" xr:uid="{00000000-0002-0000-0000-000012000000}"/>
    <dataValidation allowBlank="1" showInputMessage="1" showErrorMessage="1" prompt="Enter tRTP(min) from the DDR3 device data sheet" sqref="B14" xr:uid="{00000000-0002-0000-0000-000013000000}"/>
    <dataValidation allowBlank="1" showInputMessage="1" showErrorMessage="1" prompt="Enter tWR(min) from the DDR3 device data sheet" sqref="B15" xr:uid="{00000000-0002-0000-0000-000014000000}"/>
    <dataValidation allowBlank="1" showInputMessage="1" showErrorMessage="1" prompt="Enter tXP(min) from the DDR3 device data sheet" sqref="B16" xr:uid="{00000000-0002-0000-0000-000015000000}"/>
    <dataValidation allowBlank="1" showInputMessage="1" showErrorMessage="1" prompt="Enter tCKE(min) from the DDR3 device data sheet" sqref="B17" xr:uid="{00000000-0002-0000-0000-000016000000}"/>
    <dataValidation type="decimal" operator="equal" allowBlank="1" showInputMessage="1" showErrorMessage="1" error="Only burst length = 8 is supported" prompt="Only burst length = 8 is supported" sqref="B19" xr:uid="{00000000-0002-0000-0000-000017000000}">
      <formula1>8</formula1>
    </dataValidation>
    <dataValidation operator="equal" allowBlank="1" showInputMessage="1" showErrorMessage="1" error="The recommended value is 60 ohms" prompt="Enter the Driver Impedance value for the address  (DMC_A[nn],  DMC_BA[n])  and command  (DMC_CKE,  DMC_CS[n],  DMC_ODT,  DMC_RAS,  DMC_RESET,  DMC_WE)  pads._x000a__x000a_The recommended value is 100 ohms" sqref="B22" xr:uid="{00000000-0002-0000-0000-000018000000}"/>
    <dataValidation operator="equal" allowBlank="1" showInputMessage="1" showErrorMessage="1" error="The recommended value is 40 ohms." prompt="Enter the Driver Impedance value for data  (DMC_DQ[nn]),  DQS  (DMC_LDQS, /DMC_LDQS,  DMC_UDQS,  /DMC_UDQS),  clock  (DMC_CK,  DMC_CK),  and  DM (DMC_UDM, DMC_LDM) pads._x000a__x000a_The recommended value is 90 ohms." sqref="B23" xr:uid="{00000000-0002-0000-0000-000019000000}"/>
    <dataValidation allowBlank="1" showInputMessage="1" showErrorMessage="1" prompt="Enter the On Die Termination value in Ohms for the DQ and DQS pads from the processor end" sqref="B24" xr:uid="{00000000-0002-0000-0000-00001A000000}"/>
    <dataValidation type="list" allowBlank="1" showInputMessage="1" showErrorMessage="1" sqref="C10" xr:uid="{00000000-0002-0000-0000-00001C000000}">
      <formula1>$G$16:$G$17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DDR3</vt:lpstr>
    </vt:vector>
  </TitlesOfParts>
  <Company>Analog Devices,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Gath, Dhawal</dc:creator>
  <cp:lastModifiedBy>Huchaiah, Deepak</cp:lastModifiedBy>
  <dcterms:created xsi:type="dcterms:W3CDTF">2015-08-11T06:20:01Z</dcterms:created>
  <dcterms:modified xsi:type="dcterms:W3CDTF">2022-07-16T07:19:03Z</dcterms:modified>
</cp:coreProperties>
</file>