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updateLinks="never"/>
  <mc:AlternateContent xmlns:mc="http://schemas.openxmlformats.org/markup-compatibility/2006">
    <mc:Choice Requires="x15">
      <x15ac:absPath xmlns:x15ac="http://schemas.microsoft.com/office/spreadsheetml/2010/11/ac" url="https://analog-my.sharepoint.com/personal/deepak_huchaiah_analog_com/Documents/Desktop/Docs/GXP2 docvs/APP note/GXP2 Power Overmold/ADSP-SC595_SC596_SC598_Power_Calculator_Tool_Rev00/"/>
    </mc:Choice>
  </mc:AlternateContent>
  <xr:revisionPtr revIDLastSave="75" documentId="8_{E9D03A90-B9AC-483F-BB61-1D0BB40B3132}" xr6:coauthVersionLast="47" xr6:coauthVersionMax="47" xr10:uidLastSave="{4766A333-6163-48B9-9DB9-BE4CBD79F141}"/>
  <bookViews>
    <workbookView xWindow="-96" yWindow="-96" windowWidth="23232" windowHeight="13992" tabRatio="761" xr2:uid="{00000000-000D-0000-FFFF-FFFF00000000}"/>
  </bookViews>
  <sheets>
    <sheet name="Power Estimation" sheetId="1" r:id="rId1"/>
    <sheet name="VDD_INT Static Current" sheetId="16" r:id="rId2"/>
    <sheet name="VDD_INT CORE ASF" sheetId="22" r:id="rId3"/>
    <sheet name="VDD_INT DMA Usage" sheetId="19" r:id="rId4"/>
    <sheet name="VDD_INT Accelerators" sheetId="14" r:id="rId5"/>
    <sheet name="VDD_EXT &amp; VDD_REF Power" sheetId="10" r:id="rId6"/>
    <sheet name="VDD_DMC Power" sheetId="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5_ASF">#REF!</definedName>
    <definedName name="Ac">#REF!</definedName>
    <definedName name="ActFactSH">#REF!</definedName>
    <definedName name="Activity">#REF!</definedName>
    <definedName name="ActivityF">#REF!</definedName>
    <definedName name="ActivityFactor">#REF!</definedName>
    <definedName name="ActivityFactorARM">#REF!</definedName>
    <definedName name="ActivityFactorARM0">#REF!</definedName>
    <definedName name="ActivityFactorARM1" localSheetId="6">'[1]Core Activity Factors'!$L$6:$M$12</definedName>
    <definedName name="ActivityFactorARM1">#REF!</definedName>
    <definedName name="ActivityFactorSH">#REF!</definedName>
    <definedName name="ActivityFactorSHARC" localSheetId="6">'[1]Core Activity Factors'!$C$7:$D$12</definedName>
    <definedName name="ActivityFactorSHARC">#REF!</definedName>
    <definedName name="ActivityFactorSHARC1">#REF!</definedName>
    <definedName name="ActivityScalingFactor" localSheetId="6">'[2]Dynamic Scaling Factors'!$C$4:$D$10</definedName>
    <definedName name="ActivityScalingFactor">'[3]Dynamic Scaling Factors'!$C$4:$D$10</definedName>
    <definedName name="ActivityScalingFactorARM" localSheetId="6">'[4]Dynamic Scaling Factors'!$C$5:$D$11</definedName>
    <definedName name="ActivityScalingFactorARM">'[5]Dynamic Scaling Factors'!$C$5:$D$11</definedName>
    <definedName name="AMRAc">#REF!</definedName>
    <definedName name="asa" localSheetId="6">'[2]Supporting Tables'!$B$22:$B$23</definedName>
    <definedName name="asa">'[3]Supporting Tables'!$B$22:$B$23</definedName>
    <definedName name="Average_ASF">'Power Estimation'!#REF!,'Power Estimation'!#REF!,'Power Estimation'!$E$46</definedName>
    <definedName name="Burst_Mode">#REF!</definedName>
    <definedName name="CHOICE" localSheetId="6">'[2]Supporting Tables'!$B$8:$B$9</definedName>
    <definedName name="CHOICE">'[3]Supporting Tables'!$B$8:$B$9</definedName>
    <definedName name="ConfigSettings">'Power Estimation'!$G$11:$G$18,'Power Estimation'!$G$74,'Power Estimation'!$G$81,'Power Estimation'!#REF!</definedName>
    <definedName name="DDR_BURST" localSheetId="6">'[2]Supporting Tables'!$C$35:$C$36</definedName>
    <definedName name="DDR_BURST">'[3]Supporting Tables'!$C$35:$C$36</definedName>
    <definedName name="DDR2_Freq" localSheetId="6">[2]ClockSpecs!$E$7</definedName>
    <definedName name="DDR2_Freq">[3]ClockSpecs!$E$7</definedName>
    <definedName name="DMA_PROFILE">#REF!</definedName>
    <definedName name="DMAACTIVITY" localSheetId="6">[1]DMA_Usage!#REF!</definedName>
    <definedName name="DMAACTIVITY">#REF!</definedName>
    <definedName name="DMAPROFILE">#REF!</definedName>
    <definedName name="FFT">'Power Estimation'!$M$24:$M$24</definedName>
    <definedName name="FFT_Activity" localSheetId="6">#REF!</definedName>
    <definedName name="FFT_Activity">#REF!</definedName>
    <definedName name="FFT_CLK" localSheetId="6">#REF!</definedName>
    <definedName name="FFT_CLK">#REF!</definedName>
    <definedName name="Freq" localSheetId="6">'[2]Dynamic Current'!$C$6:$C$14</definedName>
    <definedName name="Freq">'[3]Dynamic Current'!$C$6:$C$14</definedName>
    <definedName name="GIGE_LIST">[1]GIGE!$C$3:$C$4</definedName>
    <definedName name="GIGE_OPTIONS" localSheetId="6">#REF!</definedName>
    <definedName name="GIGE_OPTIONS">#REF!</definedName>
    <definedName name="GIGE_OPTIOSN" localSheetId="6">#REF!</definedName>
    <definedName name="GIGE_OPTIOSN">#REF!</definedName>
    <definedName name="IDD_BASELINE_DYN" localSheetId="6">'[2]Dynamic Current'!$D$6:$J$14</definedName>
    <definedName name="IDD_BASELINE_DYN">'[3]Dynamic Current'!$D$6:$J$14</definedName>
    <definedName name="IDD_DEEPSLEEP_MAX" localSheetId="6">'[2]Maximum Static Current'!$D$6:$J$17</definedName>
    <definedName name="IDD_DEEPSLEEP_MAX">'[3]Maximum Static Current'!$D$6:$J$17</definedName>
    <definedName name="IDD_DEEPSLEEP_TYP" localSheetId="6">'[2]Typical Static Current'!$D$6:$J$17</definedName>
    <definedName name="IDD_DEEPSLEEP_TYP">'[3]Typical Static Current'!$D$6:$J$17</definedName>
    <definedName name="MLB_LIST">[1]MLB!$C$3:$C$4</definedName>
    <definedName name="MLB_OPTIONS" localSheetId="6">#REF!</definedName>
    <definedName name="MLB_OPTIONS">#REF!</definedName>
    <definedName name="PCIE_CurrentTable" localSheetId="6">#REF!</definedName>
    <definedName name="PCIE_CurrentTable">#REF!</definedName>
    <definedName name="PCIE_OPTIONS" localSheetId="6">#REF!</definedName>
    <definedName name="PCIE_OPTIONS">#REF!</definedName>
    <definedName name="Power_Profile" localSheetId="6">'[6]Supporting Tables'!$B$22:$B$23</definedName>
    <definedName name="Power_Profile" localSheetId="5">'[3]Supporting Tables'!$B$22:$B$23</definedName>
    <definedName name="Power_Profile">'[7]Supporting Tables'!$B$22:$B$23</definedName>
    <definedName name="PowerModes" localSheetId="6">'[2]Supporting Tables'!$B$4:$B$5</definedName>
    <definedName name="PowerModes">'[3]Supporting Tables'!$B$4:$B$5</definedName>
    <definedName name="ProcessorFamily" localSheetId="6">'[6]Supporting Tables'!$B$27</definedName>
    <definedName name="ProcessorFamily" localSheetId="5">'[3]Supporting Tables'!$B$27</definedName>
    <definedName name="ProcessorFamily">'[7]Supporting Tables'!$B$27</definedName>
    <definedName name="PVP_USED" localSheetId="6">'[2]Supporting Tables'!$B$13:$C$15</definedName>
    <definedName name="PVP_USED">'[3]Supporting Tables'!$B$13:$C$15</definedName>
    <definedName name="ResourceUsage" localSheetId="6">'[1]Power Estimation'!#REF!</definedName>
    <definedName name="ResourceUsage">'Power Estimation'!#REF!</definedName>
    <definedName name="SCLK0" localSheetId="6">[2]ClockSpecs!$E$5</definedName>
    <definedName name="SCLK0">[3]ClockSpecs!$E$5</definedName>
    <definedName name="SCLK1" localSheetId="6">[2]ClockSpecs!$E$6</definedName>
    <definedName name="SCLK1">[3]ClockSpecs!$E$6</definedName>
    <definedName name="SHARC_ASF">#REF!</definedName>
    <definedName name="SIDD_Levels" localSheetId="6">'[1]VDD_INT Typical Static Current'!$B$94:$B$95</definedName>
    <definedName name="SIDD_Levels">#REF!</definedName>
    <definedName name="SYSCLK" localSheetId="6">[2]ClockSpecs!$E$4</definedName>
    <definedName name="SYSCLK">[3]ClockSpecs!$E$4</definedName>
    <definedName name="Temperature" localSheetId="6">'[1]VDD_INT Typical Static Current'!$E$6:$E$20</definedName>
    <definedName name="Temperature">#REF!</definedName>
    <definedName name="Tj_MAX" localSheetId="6">'[2]Maximum Static Current'!$C$6:$C$17</definedName>
    <definedName name="Tj_MAX">'[3]Maximum Static Current'!$C$6:$C$17</definedName>
    <definedName name="Tj_TYP" localSheetId="6">'[2]Typical Static Current'!$C$6:$C$17</definedName>
    <definedName name="Tj_TYP">'[3]Typical Static Current'!$C$6:$C$17</definedName>
    <definedName name="USB_OPTIONS">#REF!</definedName>
    <definedName name="USB_USED" localSheetId="6">'[2]Supporting Tables'!$B$8:$D$9</definedName>
    <definedName name="USB_USED">'[3]Supporting Tables'!$B$8:$D$9</definedName>
    <definedName name="USB_VDDINT" localSheetId="6">[1]USB!$C$3:$D$6</definedName>
    <definedName name="USB_VDDINT">#REF!</definedName>
    <definedName name="USB_VDDUSB" localSheetId="6">[1]USB!$H$3:$I$6</definedName>
    <definedName name="USB_VDDUSB">#REF!</definedName>
    <definedName name="VDD_INT" localSheetId="6">'[1]VDD_INT Typical Static Current'!$F$5:$N$5</definedName>
    <definedName name="VDD_INT">#REF!</definedName>
    <definedName name="VDDDMC_BF60x" localSheetId="6">'[2]Supporting Tables'!$D$30:$E$30</definedName>
    <definedName name="VDDDMC_BF60x">'[3]Supporting Tables'!$D$30:$E$30</definedName>
    <definedName name="Vddint_MAX" localSheetId="6">'[2]Maximum Static Current'!$D$5:$J$5</definedName>
    <definedName name="Vddint_MAX">'[3]Maximum Static Current'!$D$5:$J$5</definedName>
    <definedName name="Vddint_TYP" localSheetId="6">'[2]Typical Static Current'!$D$5:$J$5</definedName>
    <definedName name="Vddint_TYP">'[3]Typical Static Current'!$D$5:$J$5</definedName>
    <definedName name="VDDTD_BF60x" localSheetId="6">'[2]Supporting Tables'!$D$32:$E$32</definedName>
    <definedName name="VDDTD_BF60x">'[3]Supporting Tables'!$D$32:$E$32</definedName>
    <definedName name="VDDUSB_BF60x" localSheetId="6">'[2]Supporting Tables'!$D$31:$E$31</definedName>
    <definedName name="VDDUSB_BF60x">'[3]Supporting Tables'!$D$31:$E$31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K10" i="21" l="1"/>
  <c r="H12" i="1" l="1"/>
  <c r="H11" i="1"/>
  <c r="E12" i="21"/>
  <c r="E10" i="21"/>
  <c r="H62" i="1"/>
  <c r="H18" i="1" l="1"/>
  <c r="H16" i="1"/>
  <c r="H15" i="1"/>
  <c r="H14" i="1"/>
  <c r="H70" i="1" l="1"/>
  <c r="H69" i="1"/>
  <c r="H68" i="1"/>
  <c r="H67" i="1"/>
  <c r="H66" i="1"/>
  <c r="H65" i="1"/>
  <c r="H64" i="1"/>
  <c r="H63" i="1"/>
  <c r="H61" i="1"/>
  <c r="H17" i="1"/>
  <c r="H19" i="1" l="1"/>
  <c r="E34" i="1" l="1"/>
  <c r="E46" i="1"/>
  <c r="H71" i="1" l="1"/>
  <c r="E57" i="1" l="1"/>
  <c r="L15" i="1" l="1"/>
  <c r="L22" i="1" s="1"/>
  <c r="K12" i="21" l="1"/>
  <c r="J19" i="10" l="1"/>
  <c r="L19" i="10" s="1"/>
  <c r="I19" i="10"/>
  <c r="K19" i="10" s="1"/>
  <c r="J18" i="10"/>
  <c r="L18" i="10" s="1"/>
  <c r="I18" i="10"/>
  <c r="K18" i="10" s="1"/>
  <c r="J17" i="10"/>
  <c r="L17" i="10" s="1"/>
  <c r="I17" i="10"/>
  <c r="K17" i="10" s="1"/>
  <c r="J16" i="10"/>
  <c r="L16" i="10" s="1"/>
  <c r="I16" i="10"/>
  <c r="K16" i="10" s="1"/>
  <c r="J15" i="10"/>
  <c r="L15" i="10" s="1"/>
  <c r="I15" i="10"/>
  <c r="K15" i="10" s="1"/>
  <c r="J14" i="10"/>
  <c r="L14" i="10" s="1"/>
  <c r="I14" i="10"/>
  <c r="K14" i="10" s="1"/>
  <c r="J13" i="10"/>
  <c r="L13" i="10" s="1"/>
  <c r="I13" i="10"/>
  <c r="K13" i="10" s="1"/>
  <c r="J12" i="10"/>
  <c r="L12" i="10" s="1"/>
  <c r="I12" i="10"/>
  <c r="K12" i="10" s="1"/>
  <c r="J11" i="10"/>
  <c r="L11" i="10" s="1"/>
  <c r="J10" i="10"/>
  <c r="L10" i="10" s="1"/>
  <c r="I11" i="10"/>
  <c r="K11" i="10" s="1"/>
  <c r="I10" i="10"/>
  <c r="K10" i="10" s="1"/>
  <c r="K25" i="10" l="1"/>
  <c r="H90" i="1" s="1"/>
  <c r="H89" i="1" s="1"/>
  <c r="K24" i="10"/>
  <c r="H76" i="1" s="1"/>
  <c r="K11" i="21" l="1"/>
  <c r="K13" i="21"/>
  <c r="K15" i="21" l="1"/>
  <c r="H83" i="1" s="1"/>
  <c r="H82" i="1" s="1"/>
  <c r="H20" i="1" l="1"/>
  <c r="L16" i="1" s="1"/>
  <c r="L17" i="1" s="1"/>
  <c r="L21" i="1" l="1"/>
  <c r="L23" i="1" s="1"/>
  <c r="M28" i="1" s="1"/>
  <c r="H75" i="1"/>
</calcChain>
</file>

<file path=xl/sharedStrings.xml><?xml version="1.0" encoding="utf-8"?>
<sst xmlns="http://schemas.openxmlformats.org/spreadsheetml/2006/main" count="247" uniqueCount="188">
  <si>
    <t>Green cells are automatically computed</t>
  </si>
  <si>
    <t>Relevant Power Domains</t>
  </si>
  <si>
    <t>SYSCLK (MHz)</t>
  </si>
  <si>
    <t>SCLK0 (MHz)</t>
  </si>
  <si>
    <t>SCLK1 (MHz)</t>
  </si>
  <si>
    <t>DCLK (MHz)</t>
  </si>
  <si>
    <t>Resource Usage</t>
  </si>
  <si>
    <r>
      <t>T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</si>
  <si>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Activity Factor</t>
  </si>
  <si>
    <t>30-70</t>
  </si>
  <si>
    <t>50-50</t>
  </si>
  <si>
    <t>70-30 (Typical)</t>
  </si>
  <si>
    <t>Contribution (mA)</t>
  </si>
  <si>
    <t>Clock Domains &amp; DMA Rates</t>
  </si>
  <si>
    <t>Dynamic Current (A1)</t>
  </si>
  <si>
    <t>Dynamic Current (A2)</t>
  </si>
  <si>
    <t>Static Current (mA)</t>
  </si>
  <si>
    <t>OCLK(MHz)</t>
  </si>
  <si>
    <t>Toggle
Ratio (TR)</t>
  </si>
  <si>
    <t>Number of Output Pins (O)</t>
  </si>
  <si>
    <t>Frequency in Hz (f)</t>
  </si>
  <si>
    <t>Peripheral</t>
  </si>
  <si>
    <t>CLK</t>
  </si>
  <si>
    <t xml:space="preserve">CTRL </t>
  </si>
  <si>
    <t>Data pins [15:0]</t>
  </si>
  <si>
    <t>Address pins [15:0]</t>
  </si>
  <si>
    <t>Average ASF</t>
  </si>
  <si>
    <t>HIGH</t>
  </si>
  <si>
    <t>MEDIUM</t>
  </si>
  <si>
    <t>LOW</t>
  </si>
  <si>
    <t>Clock_Gated</t>
  </si>
  <si>
    <r>
      <t>V</t>
    </r>
    <r>
      <rPr>
        <vertAlign val="subscript"/>
        <sz val="36"/>
        <color theme="1"/>
        <rFont val="Calibri"/>
        <family val="2"/>
        <scheme val="minor"/>
      </rPr>
      <t>DD_INT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</si>
  <si>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(V)</t>
    </r>
  </si>
  <si>
    <r>
      <t>Total 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Power (W)</t>
    </r>
  </si>
  <si>
    <t>Total Estimated Chip Power (W)</t>
  </si>
  <si>
    <t>Notes</t>
  </si>
  <si>
    <t>Yellow cells require system-dependent user input</t>
  </si>
  <si>
    <t>DMA Profile</t>
  </si>
  <si>
    <r>
      <rPr>
        <b/>
        <i/>
        <sz val="14"/>
        <color theme="1"/>
        <rFont val="Calibri"/>
        <family val="2"/>
        <scheme val="minor"/>
      </rPr>
      <t>ALL</t>
    </r>
    <r>
      <rPr>
        <sz val="14"/>
        <color theme="1"/>
        <rFont val="Calibri"/>
        <family val="2"/>
        <scheme val="minor"/>
      </rPr>
      <t xml:space="preserve"> yellow cells require application-specific user input</t>
    </r>
  </si>
  <si>
    <t>SHARC ASF Vector Definitions</t>
  </si>
  <si>
    <t>Green cells are automatically populated/computed</t>
  </si>
  <si>
    <t>This example use case is aggressive on the utilization numbers but more realistic on frequencies and pin directions.</t>
  </si>
  <si>
    <r>
      <t>V</t>
    </r>
    <r>
      <rPr>
        <vertAlign val="subscript"/>
        <sz val="24"/>
        <color theme="1"/>
        <rFont val="Calibri"/>
        <family val="2"/>
        <scheme val="minor"/>
      </rPr>
      <t>DD_EXT</t>
    </r>
  </si>
  <si>
    <r>
      <t>V</t>
    </r>
    <r>
      <rPr>
        <vertAlign val="subscript"/>
        <sz val="22"/>
        <color theme="1"/>
        <rFont val="Calibri"/>
        <family val="2"/>
        <scheme val="minor"/>
      </rPr>
      <t>DD_DMC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</si>
  <si>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</si>
  <si>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</si>
  <si>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</si>
  <si>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(W)</t>
    </r>
  </si>
  <si>
    <t>FIR Activity</t>
  </si>
  <si>
    <t>IIR Activity</t>
  </si>
  <si>
    <t>Junction Temperature(°C)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</si>
  <si>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
•	1x Medium Speed MDMA transferring data from DDR to L1
•	1x High Speed MDMA transferring data from L1 to DDR</t>
  </si>
  <si>
    <t>•	The following peripheral and memory DMAs are active in this configuration:
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</si>
  <si>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</t>
  </si>
  <si>
    <t>Reasoning</t>
  </si>
  <si>
    <t xml:space="preserve">DDR3L </t>
  </si>
  <si>
    <t>2x DCLK_FREQ operation, Assume DDR configured for write operation;Worst case execution --&gt; State of pin changes twice every clock cycle  (togle ratio:1)</t>
  </si>
  <si>
    <t>DCLK_FREQ operation;Clk and the differnetial clock signal ;Worst case execution --&gt; State of pin changes twice every clock cycle  (togle ratio:1)</t>
  </si>
  <si>
    <r>
      <t>P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(W)</t>
    </r>
  </si>
  <si>
    <r>
      <t>V</t>
    </r>
    <r>
      <rPr>
        <vertAlign val="subscript"/>
        <sz val="18"/>
        <color theme="1"/>
        <rFont val="Calibri"/>
        <family val="2"/>
        <scheme val="minor"/>
      </rPr>
      <t>DD_INT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DD_EXT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DD_DMC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DD_REF</t>
    </r>
  </si>
  <si>
    <t>FIR Accelerator</t>
  </si>
  <si>
    <t>IIR Accelerator</t>
  </si>
  <si>
    <t>SHARC0 Core Clock Frequency (MHz)</t>
  </si>
  <si>
    <t>Total Dynamic Current (mA)</t>
  </si>
  <si>
    <t>Total VDD_INT current (mA)</t>
  </si>
  <si>
    <t>NOPs 100%</t>
  </si>
  <si>
    <t xml:space="preserve"> Activity Condition</t>
  </si>
  <si>
    <t>100% (Peak)</t>
  </si>
  <si>
    <t>IDLE 100%</t>
  </si>
  <si>
    <t>Core Light Sleep</t>
  </si>
  <si>
    <t>Note: This profile is for the worst case fabrication process.</t>
  </si>
  <si>
    <t>CORE (SHARC0) Average ASF</t>
  </si>
  <si>
    <r>
      <t>V</t>
    </r>
    <r>
      <rPr>
        <vertAlign val="subscript"/>
        <sz val="11"/>
        <color theme="1"/>
        <rFont val="Calibri"/>
        <family val="2"/>
        <scheme val="minor"/>
      </rPr>
      <t>DD_EXT_REF</t>
    </r>
    <r>
      <rPr>
        <sz val="11"/>
        <color theme="1"/>
        <rFont val="Calibri"/>
        <family val="2"/>
        <scheme val="minor"/>
      </rPr>
      <t xml:space="preserve"> (V)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</si>
  <si>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DDINT_FIR_DR_DYN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</si>
  <si>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DDINT_IIR_DR_DYN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</si>
  <si>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</si>
  <si>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</si>
  <si>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(A)</t>
    </r>
  </si>
  <si>
    <t>VDD_REF current per IO (mA)</t>
  </si>
  <si>
    <t>Link Port - Data pins</t>
  </si>
  <si>
    <r>
      <t>P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mW</t>
    </r>
  </si>
  <si>
    <t>Link Port - Clock</t>
  </si>
  <si>
    <t>SPORT0-7 -Data pins</t>
  </si>
  <si>
    <t>SPORT0-7 - Clock</t>
  </si>
  <si>
    <t>SPI2 - Data pins</t>
  </si>
  <si>
    <t xml:space="preserve">SPI2 - Clock </t>
  </si>
  <si>
    <t>SPI1 - Data pins</t>
  </si>
  <si>
    <t xml:space="preserve">SPI1- Clock </t>
  </si>
  <si>
    <t>SPI10- Data pins</t>
  </si>
  <si>
    <t xml:space="preserve">SPI0- Clock </t>
  </si>
  <si>
    <t>62.5MHz max frequency cycle, 8-bit data (8 pins @ 0.25 toggle ratio)</t>
  </si>
  <si>
    <t>31.25MHz max frequency cycle, Quad mode (4 pins @ 0.25 toggle ratio)</t>
  </si>
  <si>
    <t>31.25MHz max frequency cycle, Dual mode (2 pins @ 0.25 toggle ratio)</t>
  </si>
  <si>
    <t>This is an example use-case and is highly aggressive on the frequency of operation and utilization numbers.</t>
  </si>
  <si>
    <t>31.25MHz max frequency cycle, 2 pins per SPORT x 8 (16 pins @ 0.25 toggle ratio)</t>
  </si>
  <si>
    <r>
      <t>P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 mW</t>
    </r>
  </si>
  <si>
    <t>DCLK_FREQ operation;Worst case execution --&gt; State of pin changes roughly every one fourth max frequency cycle (togle ratio:0.5)</t>
  </si>
  <si>
    <t>DCLK_FREQ/Burst Mode operation,Assume DDR configured for write operation; Worst case execution --&gt; State of pin changes roughly every one fourth max frequency cycle (togle ratio:0.25)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</si>
  <si>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Parameters</t>
    </r>
  </si>
  <si>
    <r>
      <t>I/O VREF Current table for P</t>
    </r>
    <r>
      <rPr>
        <b/>
        <vertAlign val="subscript"/>
        <sz val="11"/>
        <color theme="1"/>
        <rFont val="Calibri"/>
        <family val="2"/>
        <scheme val="minor"/>
      </rPr>
      <t>DD_REF</t>
    </r>
    <r>
      <rPr>
        <b/>
        <sz val="11"/>
        <color theme="1"/>
        <rFont val="Calibri"/>
        <family val="2"/>
        <scheme val="minor"/>
      </rPr>
      <t xml:space="preserve"> calculation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</si>
  <si>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DD_EXT</t>
    </r>
    <r>
      <rPr>
        <b/>
        <sz val="11"/>
        <color theme="1"/>
        <rFont val="Calibri"/>
        <family val="2"/>
        <scheme val="minor"/>
      </rPr>
      <t xml:space="preserve"> - Total External Power Dissipation (mW)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</si>
  <si>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DD_REF -</t>
    </r>
    <r>
      <rPr>
        <b/>
        <sz val="11"/>
        <color theme="1"/>
        <rFont val="Calibri"/>
        <family val="2"/>
        <scheme val="minor"/>
      </rPr>
      <t xml:space="preserve">  Total VREF Dissipation (mW)</t>
    </r>
  </si>
  <si>
    <t>Types of Power Calculations</t>
  </si>
  <si>
    <t>ASF &lt; 1</t>
  </si>
  <si>
    <t>Max Temp</t>
  </si>
  <si>
    <t>Nominal Voltage</t>
  </si>
  <si>
    <t>ASF = Peak</t>
  </si>
  <si>
    <t>Max Voltage</t>
  </si>
  <si>
    <t>ASF = 1</t>
  </si>
  <si>
    <t>25 deg C</t>
  </si>
  <si>
    <t xml:space="preserve"> (see datasheet)</t>
  </si>
  <si>
    <t>ASF to be chosen 
(Activity Scaling Factor)</t>
  </si>
  <si>
    <t>Temperature 
to be considered</t>
  </si>
  <si>
    <t>Typical Thermal and Power scenarios</t>
  </si>
  <si>
    <t xml:space="preserve">DMA/Peripheral Usage  (@ SHARC0 Core Clock=1000 MHz) </t>
  </si>
  <si>
    <t>Voltage Domain Levels 
to be considered</t>
  </si>
  <si>
    <t>125MHz operation</t>
  </si>
  <si>
    <t>62.5MHz operation</t>
  </si>
  <si>
    <r>
      <t>V</t>
    </r>
    <r>
      <rPr>
        <vertAlign val="subscript"/>
        <sz val="24"/>
        <color theme="1"/>
        <rFont val="Calibri"/>
        <family val="2"/>
        <scheme val="minor"/>
      </rPr>
      <t>DD_REF</t>
    </r>
  </si>
  <si>
    <r>
      <rPr>
        <b/>
        <sz val="12"/>
        <color theme="1"/>
        <rFont val="Calibri"/>
        <family val="2"/>
        <scheme val="minor"/>
      </rPr>
      <t>I</t>
    </r>
    <r>
      <rPr>
        <b/>
        <vertAlign val="subscript"/>
        <sz val="12"/>
        <color theme="1"/>
        <rFont val="Calibri"/>
        <family val="2"/>
        <scheme val="minor"/>
      </rPr>
      <t>DDINT_DMA_DR_DYN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</si>
  <si>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Pin Capacitance in Farads (C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>)</t>
    </r>
  </si>
  <si>
    <r>
      <t>V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   (V)</t>
    </r>
  </si>
  <si>
    <t>Utilization Factor (U)</t>
  </si>
  <si>
    <r>
      <t>V</t>
    </r>
    <r>
      <rPr>
        <b/>
        <vertAlign val="subscript"/>
        <sz val="11"/>
        <rFont val="Calibri"/>
        <family val="2"/>
        <scheme val="minor"/>
      </rPr>
      <t>DD_REF</t>
    </r>
    <r>
      <rPr>
        <b/>
        <sz val="11"/>
        <rFont val="Calibri"/>
        <family val="2"/>
        <scheme val="minor"/>
      </rPr>
      <t xml:space="preserve">   
(V)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</si>
  <si>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DD_DMC</t>
    </r>
    <r>
      <rPr>
        <b/>
        <sz val="11"/>
        <color theme="1"/>
        <rFont val="Calibri"/>
        <family val="2"/>
        <scheme val="minor"/>
      </rPr>
      <t xml:space="preserve"> - Total DDR Power Dissipation (estimated) 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</si>
  <si>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DD_DMC
</t>
    </r>
    <r>
      <rPr>
        <b/>
        <sz val="11"/>
        <rFont val="Calibri"/>
        <family val="2"/>
        <scheme val="minor"/>
      </rPr>
      <t xml:space="preserve"> (mW)</t>
    </r>
  </si>
  <si>
    <r>
      <t>V</t>
    </r>
    <r>
      <rPr>
        <b/>
        <vertAlign val="subscript"/>
        <sz val="11"/>
        <rFont val="Calibri"/>
        <family val="2"/>
        <scheme val="minor"/>
      </rPr>
      <t>DD_DMC</t>
    </r>
    <r>
      <rPr>
        <b/>
        <sz val="11"/>
        <rFont val="Calibri"/>
        <family val="2"/>
        <scheme val="minor"/>
      </rPr>
      <t xml:space="preserve"> 
(V)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</si>
  <si>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DD-LIGHTSLEEP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</si>
  <si>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DD-IDLE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</si>
  <si>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DD-NOP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</si>
  <si>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DD-TYP_3070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</si>
  <si>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DD-TYP_5050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</si>
  <si>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DD-TYP_7030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</si>
  <si>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DD-PEAK_100</t>
    </r>
  </si>
  <si>
    <t>Thermal average power</t>
  </si>
  <si>
    <t>Peak power for power supply design</t>
  </si>
  <si>
    <t xml:space="preserve">Typical power </t>
  </si>
  <si>
    <r>
      <t>P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
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</si>
  <si>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DD_REF
</t>
    </r>
    <r>
      <rPr>
        <b/>
        <sz val="11"/>
        <rFont val="Calibri"/>
        <family val="2"/>
        <scheme val="minor"/>
      </rPr>
      <t>(mW)</t>
    </r>
  </si>
  <si>
    <t>Lower Frequency limit
of I/O switching (MHz)</t>
  </si>
  <si>
    <t>Upper Frequency limit 
of I/O switching (MHz)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</si>
  <si>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DD_INT </t>
    </r>
    <r>
      <rPr>
        <b/>
        <sz val="11"/>
        <color theme="1"/>
        <rFont val="Calibri"/>
        <family val="2"/>
        <scheme val="minor"/>
      </rPr>
      <t>(V)</t>
    </r>
  </si>
  <si>
    <t>Percentage On time</t>
  </si>
  <si>
    <t>SHARC</t>
  </si>
  <si>
    <t>SHARC is in light sleep</t>
  </si>
  <si>
    <t>SHARC is idle</t>
  </si>
  <si>
    <t>SHARC executes NOPs only</t>
  </si>
  <si>
    <t>SHARC executes floating point multiplication, addition, subtraction and store instructions 30% of the time  (70% NOPs)</t>
  </si>
  <si>
    <t>SHARC executes floating point multiplication, addition, subtraction and store instructions 50% of the time  (50% NOPs)</t>
  </si>
  <si>
    <t>SHARC executes floating point multiplication, addition, subtraction and store instructions 70% of the time  (30% NOPs)</t>
  </si>
  <si>
    <t xml:space="preserve">SHARC executes floating point multiplication, addition, subtraction and store instructions 100% of the time </t>
  </si>
  <si>
    <t>CORE0 (ARM) Average ASF</t>
  </si>
  <si>
    <t>Activity Mode</t>
  </si>
  <si>
    <t xml:space="preserve">Fraction of Time Spent by Application </t>
  </si>
  <si>
    <t>At 100 percent On time per instance</t>
  </si>
  <si>
    <t>CORE (SHARC1) Average ASF</t>
  </si>
  <si>
    <t>SHARC1 Core Clock Frequency (MHz)</t>
  </si>
  <si>
    <t>FIR0</t>
  </si>
  <si>
    <t>FIR1</t>
  </si>
  <si>
    <t>IIR0</t>
  </si>
  <si>
    <t>IIR1</t>
  </si>
  <si>
    <t xml:space="preserve">             (At SHARC0 Core Clock=1000 MHz)</t>
  </si>
  <si>
    <t>IIR2</t>
  </si>
  <si>
    <t>IIR3</t>
  </si>
  <si>
    <t>IIR4</t>
  </si>
  <si>
    <t>IIR5</t>
  </si>
  <si>
    <t>IIR6</t>
  </si>
  <si>
    <t>IIR7</t>
  </si>
  <si>
    <t>Dhrystone</t>
  </si>
  <si>
    <t>25-75</t>
  </si>
  <si>
    <t>100% peak</t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</si>
  <si>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Dynamic Power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</si>
  <si>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Static Power (W)</t>
    </r>
  </si>
  <si>
    <t>ARM A55</t>
  </si>
  <si>
    <t>ARM A5 ASF Vector Definitions</t>
  </si>
  <si>
    <r>
      <t>I</t>
    </r>
    <r>
      <rPr>
        <vertAlign val="subscript"/>
        <sz val="11"/>
        <color theme="1"/>
        <rFont val="Calibri"/>
        <family val="2"/>
        <scheme val="minor"/>
      </rPr>
      <t>DD-Dhrystone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</si>
  <si>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DD-TYP_2575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</si>
  <si>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DD-TYP_7525</t>
    </r>
  </si>
  <si>
    <t>ARM A55 is in idle</t>
  </si>
  <si>
    <t>ARM A55 executes Dhrystone code</t>
  </si>
  <si>
    <t>ARM A55 performs ALU operation 25% of the time (75% IDLE)</t>
  </si>
  <si>
    <t>ARM A55 performs ALU operation 50% of the time (50% IDLE)</t>
  </si>
  <si>
    <t>ARM A55 performs ALU operation 75% of the time (25% IDLE)</t>
  </si>
  <si>
    <t>ARM A55 performs ALU operation 100% of the time</t>
  </si>
  <si>
    <t>75-25</t>
  </si>
  <si>
    <t>Approx. Bandwidth (MBPS)</t>
  </si>
  <si>
    <t>ARM Cortex A55 Clock Frequency (MHz)</t>
  </si>
  <si>
    <t>Estimating Power for ADSP-SC595/SC596/SC598 SHARC+ Processor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</si>
</sst>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18"/>
      <name val="Courier New"/>
      <family val="3"/>
    </font>
    <font>
      <b/>
      <sz val="12"/>
      <color indexed="18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vertAlign val="subscript"/>
      <sz val="12"/>
      <color indexed="18"/>
      <name val="Courier New"/>
      <family val="3"/>
    </font>
    <font>
      <vertAlign val="superscript"/>
      <sz val="12"/>
      <color indexed="18"/>
      <name val="Courier New"/>
      <family val="3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3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24"/>
      <color theme="1"/>
      <name val="Calibri"/>
      <family val="2"/>
      <scheme val="minor"/>
    </font>
    <font>
      <vertAlign val="subscript"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0" xfId="0" applyNumberFormat="1" applyFill="1"/>
    <xf numFmtId="0" fontId="1" fillId="0" borderId="0" xfId="0" applyFont="1"/>
    <xf numFmtId="0" fontId="11" fillId="0" borderId="0" xfId="0" applyFont="1" applyAlignment="1">
      <alignment horizontal="left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0" borderId="0" xfId="0" applyBorder="1"/>
    <xf numFmtId="0" fontId="0" fillId="2" borderId="1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1" fontId="0" fillId="2" borderId="17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8" fillId="3" borderId="19" xfId="0" applyFont="1" applyFill="1" applyBorder="1" applyAlignment="1">
      <alignment horizontal="center" vertical="center" textRotation="90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3" borderId="5" xfId="0" applyFill="1" applyBorder="1"/>
    <xf numFmtId="0" fontId="0" fillId="3" borderId="7" xfId="0" applyFill="1" applyBorder="1"/>
    <xf numFmtId="0" fontId="0" fillId="3" borderId="19" xfId="0" applyFill="1" applyBorder="1"/>
    <xf numFmtId="0" fontId="0" fillId="3" borderId="10" xfId="0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2" fontId="1" fillId="4" borderId="9" xfId="0" applyNumberFormat="1" applyFont="1" applyFill="1" applyBorder="1" applyAlignment="1">
      <alignment horizontal="center" vertical="center"/>
    </xf>
    <xf numFmtId="2" fontId="0" fillId="4" borderId="9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1" fillId="6" borderId="1" xfId="0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left" wrapText="1"/>
    </xf>
    <xf numFmtId="0" fontId="1" fillId="6" borderId="28" xfId="0" applyFont="1" applyFill="1" applyBorder="1"/>
    <xf numFmtId="0" fontId="0" fillId="6" borderId="1" xfId="0" applyFont="1" applyFill="1" applyBorder="1" applyAlignment="1">
      <alignment horizontal="center" wrapText="1"/>
    </xf>
    <xf numFmtId="2" fontId="0" fillId="6" borderId="1" xfId="0" applyNumberFormat="1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6" borderId="28" xfId="0" applyFill="1" applyBorder="1"/>
    <xf numFmtId="0" fontId="0" fillId="6" borderId="29" xfId="0" applyFill="1" applyBorder="1"/>
    <xf numFmtId="0" fontId="1" fillId="6" borderId="1" xfId="0" applyFont="1" applyFill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2" fontId="1" fillId="3" borderId="0" xfId="0" applyNumberFormat="1" applyFont="1" applyFill="1" applyBorder="1" applyAlignment="1">
      <alignment horizontal="left" wrapText="1"/>
    </xf>
    <xf numFmtId="0" fontId="0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2" fontId="0" fillId="0" borderId="2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6" borderId="1" xfId="0" applyFont="1" applyFill="1" applyBorder="1" applyAlignment="1">
      <alignment vertical="center" wrapText="1"/>
    </xf>
    <xf numFmtId="0" fontId="27" fillId="6" borderId="1" xfId="0" applyFont="1" applyFill="1" applyBorder="1" applyAlignment="1">
      <alignment vertical="center" wrapText="1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4" borderId="0" xfId="0" applyFill="1" applyAlignment="1"/>
    <xf numFmtId="0" fontId="10" fillId="0" borderId="0" xfId="0" applyFont="1" applyAlignment="1">
      <alignment horizontal="left"/>
    </xf>
    <xf numFmtId="0" fontId="0" fillId="0" borderId="9" xfId="0" applyBorder="1"/>
    <xf numFmtId="0" fontId="0" fillId="0" borderId="13" xfId="0" applyBorder="1"/>
    <xf numFmtId="2" fontId="13" fillId="4" borderId="34" xfId="0" applyNumberFormat="1" applyFont="1" applyFill="1" applyBorder="1" applyAlignment="1">
      <alignment horizontal="center"/>
    </xf>
    <xf numFmtId="0" fontId="0" fillId="2" borderId="8" xfId="0" applyFill="1" applyBorder="1"/>
    <xf numFmtId="0" fontId="0" fillId="2" borderId="1" xfId="0" applyFill="1" applyBorder="1"/>
    <xf numFmtId="0" fontId="0" fillId="2" borderId="44" xfId="0" applyFill="1" applyBorder="1"/>
    <xf numFmtId="0" fontId="0" fillId="2" borderId="14" xfId="0" applyFill="1" applyBorder="1"/>
    <xf numFmtId="0" fontId="0" fillId="4" borderId="1" xfId="0" applyFill="1" applyBorder="1"/>
    <xf numFmtId="0" fontId="0" fillId="4" borderId="14" xfId="0" applyFill="1" applyBorder="1"/>
    <xf numFmtId="11" fontId="0" fillId="2" borderId="35" xfId="0" applyNumberFormat="1" applyFill="1" applyBorder="1" applyAlignment="1">
      <alignment horizontal="center" vertical="center"/>
    </xf>
    <xf numFmtId="164" fontId="0" fillId="4" borderId="36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1" fillId="4" borderId="34" xfId="0" applyNumberFormat="1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0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2" fontId="1" fillId="6" borderId="15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4" borderId="15" xfId="0" applyNumberFormat="1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50" xfId="0" applyBorder="1"/>
    <xf numFmtId="2" fontId="0" fillId="6" borderId="50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52" xfId="0" applyFill="1" applyBorder="1" applyAlignment="1">
      <alignment horizontal="left"/>
    </xf>
    <xf numFmtId="0" fontId="0" fillId="3" borderId="53" xfId="0" applyFill="1" applyBorder="1" applyAlignment="1" applyProtection="1">
      <alignment horizontal="center"/>
      <protection locked="0"/>
    </xf>
    <xf numFmtId="2" fontId="0" fillId="4" borderId="13" xfId="0" applyNumberFormat="1" applyFill="1" applyBorder="1" applyAlignment="1">
      <alignment horizontal="center"/>
    </xf>
    <xf numFmtId="0" fontId="1" fillId="6" borderId="35" xfId="0" applyFont="1" applyFill="1" applyBorder="1" applyAlignment="1">
      <alignment horizontal="center" wrapText="1"/>
    </xf>
    <xf numFmtId="0" fontId="1" fillId="6" borderId="37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ont="1" applyFill="1" applyBorder="1"/>
    <xf numFmtId="0" fontId="0" fillId="6" borderId="9" xfId="0" applyFont="1" applyFill="1" applyBorder="1"/>
    <xf numFmtId="0" fontId="0" fillId="6" borderId="14" xfId="0" applyFont="1" applyFill="1" applyBorder="1"/>
    <xf numFmtId="0" fontId="0" fillId="6" borderId="13" xfId="0" applyFont="1" applyFill="1" applyBorder="1"/>
    <xf numFmtId="2" fontId="0" fillId="6" borderId="1" xfId="0" applyNumberFormat="1" applyFont="1" applyFill="1" applyBorder="1" applyAlignment="1">
      <alignment horizontal="center"/>
    </xf>
    <xf numFmtId="2" fontId="30" fillId="0" borderId="49" xfId="0" applyNumberFormat="1" applyFont="1" applyBorder="1" applyAlignment="1">
      <alignment horizontal="left" vertical="center" wrapText="1"/>
    </xf>
    <xf numFmtId="2" fontId="30" fillId="0" borderId="50" xfId="0" applyNumberFormat="1" applyFont="1" applyBorder="1" applyAlignment="1">
      <alignment horizontal="left" vertical="center" wrapText="1"/>
    </xf>
    <xf numFmtId="0" fontId="0" fillId="2" borderId="28" xfId="0" applyFont="1" applyFill="1" applyBorder="1" applyAlignment="1">
      <alignment horizontal="center" vertical="center"/>
    </xf>
    <xf numFmtId="11" fontId="30" fillId="2" borderId="29" xfId="0" applyNumberFormat="1" applyFont="1" applyFill="1" applyBorder="1" applyAlignment="1">
      <alignment horizontal="center" vertical="center"/>
    </xf>
    <xf numFmtId="2" fontId="30" fillId="2" borderId="28" xfId="0" applyNumberFormat="1" applyFont="1" applyFill="1" applyBorder="1" applyAlignment="1">
      <alignment horizontal="center" vertical="center"/>
    </xf>
    <xf numFmtId="2" fontId="0" fillId="4" borderId="32" xfId="0" applyNumberFormat="1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11" fontId="30" fillId="2" borderId="1" xfId="0" applyNumberFormat="1" applyFont="1" applyFill="1" applyBorder="1" applyAlignment="1">
      <alignment horizontal="center" vertical="center"/>
    </xf>
    <xf numFmtId="2" fontId="30" fillId="2" borderId="18" xfId="0" applyNumberFormat="1" applyFont="1" applyFill="1" applyBorder="1" applyAlignment="1">
      <alignment horizontal="center" vertical="center"/>
    </xf>
    <xf numFmtId="2" fontId="0" fillId="4" borderId="21" xfId="0" applyNumberFormat="1" applyFont="1" applyFill="1" applyBorder="1" applyAlignment="1">
      <alignment horizontal="center" vertical="center"/>
    </xf>
    <xf numFmtId="0" fontId="30" fillId="2" borderId="18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11" fontId="30" fillId="2" borderId="14" xfId="0" applyNumberFormat="1" applyFont="1" applyFill="1" applyBorder="1" applyAlignment="1">
      <alignment horizontal="center" vertical="center"/>
    </xf>
    <xf numFmtId="0" fontId="30" fillId="2" borderId="14" xfId="0" applyFont="1" applyFill="1" applyBorder="1" applyAlignment="1">
      <alignment horizontal="center" vertical="center"/>
    </xf>
    <xf numFmtId="2" fontId="30" fillId="2" borderId="14" xfId="0" applyNumberFormat="1" applyFont="1" applyFill="1" applyBorder="1" applyAlignment="1">
      <alignment horizontal="center" vertical="center"/>
    </xf>
    <xf numFmtId="2" fontId="0" fillId="4" borderId="14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/>
    </xf>
    <xf numFmtId="0" fontId="30" fillId="2" borderId="33" xfId="0" applyFont="1" applyFill="1" applyBorder="1" applyAlignment="1">
      <alignment horizontal="center" vertical="center" wrapText="1"/>
    </xf>
    <xf numFmtId="0" fontId="30" fillId="2" borderId="22" xfId="0" applyFont="1" applyFill="1" applyBorder="1" applyAlignment="1">
      <alignment horizontal="center" vertical="center" wrapText="1"/>
    </xf>
    <xf numFmtId="11" fontId="0" fillId="2" borderId="18" xfId="0" applyNumberFormat="1" applyFont="1" applyFill="1" applyBorder="1" applyAlignment="1">
      <alignment horizontal="center" vertical="center"/>
    </xf>
    <xf numFmtId="11" fontId="0" fillId="2" borderId="14" xfId="0" applyNumberFormat="1" applyFont="1" applyFill="1" applyBorder="1" applyAlignment="1">
      <alignment horizontal="center" vertical="center"/>
    </xf>
    <xf numFmtId="11" fontId="0" fillId="2" borderId="1" xfId="0" applyNumberFormat="1" applyFont="1" applyFill="1" applyBorder="1" applyAlignment="1">
      <alignment horizontal="center" vertical="center"/>
    </xf>
    <xf numFmtId="2" fontId="1" fillId="4" borderId="34" xfId="0" applyNumberFormat="1" applyFont="1" applyFill="1" applyBorder="1"/>
    <xf numFmtId="0" fontId="10" fillId="3" borderId="0" xfId="0" applyFont="1" applyFill="1" applyAlignment="1">
      <alignment horizontal="left"/>
    </xf>
    <xf numFmtId="0" fontId="0" fillId="3" borderId="0" xfId="0" applyFill="1" applyAlignment="1"/>
    <xf numFmtId="0" fontId="26" fillId="3" borderId="0" xfId="0" applyFont="1" applyFill="1"/>
    <xf numFmtId="0" fontId="31" fillId="3" borderId="17" xfId="0" applyFont="1" applyFill="1" applyBorder="1" applyAlignment="1">
      <alignment horizontal="center"/>
    </xf>
    <xf numFmtId="0" fontId="31" fillId="3" borderId="17" xfId="0" applyFont="1" applyFill="1" applyBorder="1" applyAlignment="1">
      <alignment horizontal="center" wrapText="1"/>
    </xf>
    <xf numFmtId="0" fontId="31" fillId="3" borderId="16" xfId="0" applyFont="1" applyFill="1" applyBorder="1" applyAlignment="1">
      <alignment horizontal="center" wrapText="1"/>
    </xf>
    <xf numFmtId="0" fontId="31" fillId="3" borderId="15" xfId="0" applyFont="1" applyFill="1" applyBorder="1" applyAlignment="1">
      <alignment horizontal="center"/>
    </xf>
    <xf numFmtId="2" fontId="30" fillId="3" borderId="38" xfId="0" applyNumberFormat="1" applyFont="1" applyFill="1" applyBorder="1" applyAlignment="1">
      <alignment horizontal="left" wrapText="1"/>
    </xf>
    <xf numFmtId="2" fontId="30" fillId="3" borderId="25" xfId="0" applyNumberFormat="1" applyFont="1" applyFill="1" applyBorder="1" applyAlignment="1">
      <alignment horizontal="left" wrapText="1"/>
    </xf>
    <xf numFmtId="2" fontId="30" fillId="3" borderId="13" xfId="0" applyNumberFormat="1" applyFont="1" applyFill="1" applyBorder="1" applyAlignment="1">
      <alignment horizontal="left" wrapText="1"/>
    </xf>
    <xf numFmtId="0" fontId="0" fillId="3" borderId="55" xfId="0" applyFill="1" applyBorder="1"/>
    <xf numFmtId="2" fontId="0" fillId="2" borderId="35" xfId="0" applyNumberFormat="1" applyFill="1" applyBorder="1" applyAlignment="1">
      <alignment horizontal="center" vertical="center"/>
    </xf>
    <xf numFmtId="2" fontId="0" fillId="2" borderId="36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29" xfId="0" applyNumberFormat="1" applyFont="1" applyFill="1" applyBorder="1" applyAlignment="1">
      <alignment horizontal="center" vertical="center"/>
    </xf>
    <xf numFmtId="2" fontId="0" fillId="2" borderId="14" xfId="0" applyNumberFormat="1" applyFont="1" applyFill="1" applyBorder="1" applyAlignment="1">
      <alignment horizontal="center" vertical="center"/>
    </xf>
    <xf numFmtId="0" fontId="1" fillId="6" borderId="2" xfId="0" applyFont="1" applyFill="1" applyBorder="1"/>
    <xf numFmtId="0" fontId="1" fillId="6" borderId="3" xfId="0" applyFont="1" applyFill="1" applyBorder="1"/>
    <xf numFmtId="0" fontId="0" fillId="6" borderId="3" xfId="0" applyFont="1" applyFill="1" applyBorder="1"/>
    <xf numFmtId="0" fontId="0" fillId="6" borderId="4" xfId="0" applyFont="1" applyFill="1" applyBorder="1"/>
    <xf numFmtId="0" fontId="0" fillId="3" borderId="0" xfId="0" applyFont="1" applyFill="1" applyBorder="1"/>
    <xf numFmtId="164" fontId="0" fillId="4" borderId="29" xfId="0" applyNumberFormat="1" applyFill="1" applyBorder="1" applyAlignment="1">
      <alignment horizontal="center" vertical="center"/>
    </xf>
    <xf numFmtId="0" fontId="31" fillId="0" borderId="56" xfId="0" applyFont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wrapText="1"/>
    </xf>
    <xf numFmtId="2" fontId="0" fillId="4" borderId="58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wrapText="1"/>
    </xf>
    <xf numFmtId="0" fontId="33" fillId="6" borderId="1" xfId="0" applyFont="1" applyFill="1" applyBorder="1" applyAlignment="1">
      <alignment wrapText="1"/>
    </xf>
    <xf numFmtId="0" fontId="33" fillId="6" borderId="1" xfId="0" applyFont="1" applyFill="1" applyBorder="1" applyAlignment="1">
      <alignment vertical="center" wrapText="1"/>
    </xf>
    <xf numFmtId="0" fontId="34" fillId="6" borderId="14" xfId="0" applyFont="1" applyFill="1" applyBorder="1" applyAlignment="1">
      <alignment wrapText="1"/>
    </xf>
    <xf numFmtId="0" fontId="1" fillId="6" borderId="2" xfId="0" applyFont="1" applyFill="1" applyBorder="1" applyAlignment="1">
      <alignment horizontal="center"/>
    </xf>
    <xf numFmtId="0" fontId="0" fillId="3" borderId="0" xfId="0" applyFill="1" applyBorder="1"/>
    <xf numFmtId="0" fontId="0" fillId="0" borderId="20" xfId="0" applyBorder="1"/>
    <xf numFmtId="2" fontId="0" fillId="4" borderId="9" xfId="0" applyNumberFormat="1" applyFill="1" applyBorder="1" applyAlignment="1">
      <alignment horizontal="center" vertical="center"/>
    </xf>
    <xf numFmtId="0" fontId="1" fillId="3" borderId="59" xfId="0" applyFont="1" applyFill="1" applyBorder="1" applyAlignment="1">
      <alignment horizontal="left"/>
    </xf>
    <xf numFmtId="0" fontId="1" fillId="3" borderId="53" xfId="0" applyFont="1" applyFill="1" applyBorder="1" applyAlignment="1">
      <alignment horizontal="left"/>
    </xf>
    <xf numFmtId="0" fontId="1" fillId="3" borderId="23" xfId="0" applyFont="1" applyFill="1" applyBorder="1" applyAlignment="1">
      <alignment horizontal="left"/>
    </xf>
    <xf numFmtId="2" fontId="1" fillId="4" borderId="13" xfId="0" applyNumberFormat="1" applyFont="1" applyFill="1" applyBorder="1" applyAlignment="1">
      <alignment horizontal="center" vertical="center"/>
    </xf>
    <xf numFmtId="1" fontId="0" fillId="6" borderId="1" xfId="0" applyNumberFormat="1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1" xfId="0" applyFill="1" applyBorder="1"/>
    <xf numFmtId="0" fontId="0" fillId="6" borderId="60" xfId="0" applyFill="1" applyBorder="1"/>
    <xf numFmtId="0" fontId="0" fillId="6" borderId="61" xfId="0" applyFill="1" applyBorder="1"/>
    <xf numFmtId="0" fontId="0" fillId="6" borderId="2" xfId="0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textRotation="90"/>
    </xf>
    <xf numFmtId="0" fontId="17" fillId="3" borderId="19" xfId="0" applyFont="1" applyFill="1" applyBorder="1" applyAlignment="1">
      <alignment horizontal="center" vertical="center" textRotation="90"/>
    </xf>
    <xf numFmtId="0" fontId="17" fillId="3" borderId="10" xfId="0" applyFont="1" applyFill="1" applyBorder="1" applyAlignment="1">
      <alignment horizontal="center" vertical="center" textRotation="90"/>
    </xf>
    <xf numFmtId="0" fontId="16" fillId="3" borderId="41" xfId="0" applyFont="1" applyFill="1" applyBorder="1" applyAlignment="1">
      <alignment horizontal="center" vertical="center" textRotation="90"/>
    </xf>
    <xf numFmtId="0" fontId="16" fillId="3" borderId="42" xfId="0" applyFont="1" applyFill="1" applyBorder="1" applyAlignment="1">
      <alignment horizontal="center" vertical="center" textRotation="90"/>
    </xf>
    <xf numFmtId="0" fontId="16" fillId="3" borderId="43" xfId="0" applyFont="1" applyFill="1" applyBorder="1" applyAlignment="1">
      <alignment horizontal="center" vertical="center" textRotation="90"/>
    </xf>
    <xf numFmtId="0" fontId="16" fillId="3" borderId="5" xfId="0" applyFont="1" applyFill="1" applyBorder="1" applyAlignment="1">
      <alignment horizontal="center" vertical="center" textRotation="90"/>
    </xf>
    <xf numFmtId="0" fontId="16" fillId="3" borderId="19" xfId="0" applyFont="1" applyFill="1" applyBorder="1" applyAlignment="1">
      <alignment horizontal="center" vertical="center" textRotation="90"/>
    </xf>
    <xf numFmtId="0" fontId="16" fillId="3" borderId="10" xfId="0" applyFont="1" applyFill="1" applyBorder="1" applyAlignment="1">
      <alignment horizontal="center" vertical="center" textRotation="90"/>
    </xf>
    <xf numFmtId="0" fontId="0" fillId="3" borderId="1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0" fillId="3" borderId="21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0" borderId="0" xfId="0" applyBorder="1"/>
    <xf numFmtId="0" fontId="8" fillId="3" borderId="5" xfId="0" applyFont="1" applyFill="1" applyBorder="1" applyAlignment="1">
      <alignment horizontal="center" vertical="center" textRotation="90"/>
    </xf>
    <xf numFmtId="0" fontId="8" fillId="0" borderId="6" xfId="0" applyFont="1" applyBorder="1" applyAlignment="1"/>
    <xf numFmtId="0" fontId="8" fillId="0" borderId="19" xfId="0" applyFont="1" applyBorder="1" applyAlignment="1"/>
    <xf numFmtId="0" fontId="8" fillId="0" borderId="0" xfId="0" applyFont="1" applyBorder="1" applyAlignment="1"/>
    <xf numFmtId="0" fontId="8" fillId="0" borderId="10" xfId="0" applyFont="1" applyBorder="1" applyAlignment="1"/>
    <xf numFmtId="0" fontId="8" fillId="0" borderId="11" xfId="0" applyFont="1" applyBorder="1" applyAlignment="1"/>
    <xf numFmtId="0" fontId="0" fillId="3" borderId="1" xfId="0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3" borderId="0" xfId="0" applyFont="1" applyFill="1" applyAlignment="1"/>
    <xf numFmtId="0" fontId="3" fillId="3" borderId="0" xfId="0" applyFont="1" applyFill="1" applyAlignment="1"/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0" fillId="3" borderId="8" xfId="0" applyFont="1" applyFill="1" applyBorder="1" applyAlignment="1">
      <alignment horizontal="left"/>
    </xf>
    <xf numFmtId="0" fontId="20" fillId="3" borderId="2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1" fillId="6" borderId="17" xfId="0" applyFont="1" applyFill="1" applyBorder="1" applyAlignment="1">
      <alignment horizontal="center"/>
    </xf>
    <xf numFmtId="0" fontId="1" fillId="6" borderId="54" xfId="0" applyFont="1" applyFill="1" applyBorder="1" applyAlignment="1">
      <alignment horizontal="center" wrapText="1"/>
    </xf>
    <xf numFmtId="0" fontId="1" fillId="6" borderId="26" xfId="0" applyFont="1" applyFill="1" applyBorder="1" applyAlignment="1">
      <alignment horizont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39" xfId="0" applyFont="1" applyFill="1" applyBorder="1" applyAlignment="1">
      <alignment horizontal="center"/>
    </xf>
    <xf numFmtId="0" fontId="1" fillId="6" borderId="51" xfId="0" applyFont="1" applyFill="1" applyBorder="1" applyAlignment="1">
      <alignment horizontal="center"/>
    </xf>
    <xf numFmtId="0" fontId="1" fillId="6" borderId="49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0" fillId="0" borderId="0" xfId="0"/>
    <xf numFmtId="165" fontId="18" fillId="4" borderId="37" xfId="0" applyNumberFormat="1" applyFont="1" applyFill="1" applyBorder="1" applyAlignment="1">
      <alignment horizontal="center" vertical="center" wrapText="1"/>
    </xf>
    <xf numFmtId="165" fontId="18" fillId="4" borderId="38" xfId="0" applyNumberFormat="1" applyFont="1" applyFill="1" applyBorder="1" applyAlignment="1">
      <alignment horizontal="center" vertical="center" wrapText="1"/>
    </xf>
    <xf numFmtId="165" fontId="18" fillId="4" borderId="47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164" fontId="1" fillId="4" borderId="25" xfId="0" applyNumberFormat="1" applyFont="1" applyFill="1" applyBorder="1" applyAlignment="1">
      <alignment horizontal="center" vertical="center"/>
    </xf>
    <xf numFmtId="164" fontId="1" fillId="4" borderId="47" xfId="0" applyNumberFormat="1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46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center"/>
    </xf>
    <xf numFmtId="0" fontId="0" fillId="6" borderId="17" xfId="0" applyFont="1" applyFill="1" applyBorder="1" applyAlignment="1">
      <alignment horizontal="center"/>
    </xf>
    <xf numFmtId="0" fontId="0" fillId="6" borderId="31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0" fillId="3" borderId="0" xfId="0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1" fillId="3" borderId="20" xfId="0" applyFont="1" applyFill="1" applyBorder="1" applyAlignment="1">
      <alignment horizontal="right"/>
    </xf>
    <xf numFmtId="0" fontId="0" fillId="2" borderId="0" xfId="0" applyFill="1" applyAlignment="1"/>
    <xf numFmtId="0" fontId="10" fillId="3" borderId="0" xfId="0" applyFont="1" applyFill="1" applyAlignment="1">
      <alignment horizontal="left"/>
    </xf>
    <xf numFmtId="0" fontId="0" fillId="3" borderId="0" xfId="0" applyFill="1" applyAlignment="1"/>
    <xf numFmtId="0" fontId="0" fillId="4" borderId="0" xfId="0" applyFill="1" applyAlignment="1"/>
    <xf numFmtId="0" fontId="31" fillId="3" borderId="39" xfId="0" applyFont="1" applyFill="1" applyBorder="1" applyAlignment="1">
      <alignment horizontal="center"/>
    </xf>
    <xf numFmtId="0" fontId="0" fillId="3" borderId="40" xfId="0" applyFont="1" applyFill="1" applyBorder="1" applyAlignment="1">
      <alignment horizontal="center"/>
    </xf>
    <xf numFmtId="0" fontId="30" fillId="2" borderId="27" xfId="0" applyFont="1" applyFill="1" applyBorder="1" applyAlignment="1">
      <alignment horizontal="center" vertical="center" wrapText="1"/>
    </xf>
    <xf numFmtId="0" fontId="30" fillId="2" borderId="26" xfId="0" applyFont="1" applyFill="1" applyBorder="1" applyAlignment="1">
      <alignment horizontal="center" vertical="center" wrapText="1"/>
    </xf>
    <xf numFmtId="0" fontId="30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jagop/AppData/Roaming/Microsoft/Excel/SC57x_Power_Estimation_Tool_Apps_Rev0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BF60x_Power_Estimation_Tool_Rev03_11-05-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BF60x_Power_Estimation_Tool_Rev03_11-05-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Post%20Silicon%20Validation/Griffin%20Validation/Power%20Estimation%20AppNote/SC58xx_Power_Estimation_Tool_Rev07-22-2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Post%20Silicon%20Validation\Griffin%20Validation\Power%20Estimation%20AppNote\SC58xx_Power_Estimation_Tool_Rev07-22-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SC58x_Power_Estimation_Too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SC58x_Power_Estimation_T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INT Maximum Static Current"/>
      <sheetName val="VDD_INT Typical Static Current"/>
      <sheetName val="Core Activity Factors"/>
      <sheetName val="VDD_EXT Power Domain"/>
      <sheetName val="VDD_DMC Power Domain"/>
      <sheetName val="DMA_Usage"/>
      <sheetName val="GIGE"/>
      <sheetName val="USB"/>
      <sheetName val="MLB"/>
    </sheetNames>
    <sheetDataSet>
      <sheetData sheetId="0"/>
      <sheetData sheetId="1"/>
      <sheetData sheetId="2">
        <row r="5">
          <cell r="F5">
            <v>0.9</v>
          </cell>
          <cell r="G5">
            <v>0.95</v>
          </cell>
          <cell r="H5">
            <v>1</v>
          </cell>
          <cell r="I5">
            <v>1.05</v>
          </cell>
          <cell r="J5">
            <v>1.1000000000000001</v>
          </cell>
          <cell r="K5">
            <v>1.1499999999999999</v>
          </cell>
          <cell r="L5">
            <v>1.2</v>
          </cell>
          <cell r="M5">
            <v>1.25</v>
          </cell>
          <cell r="N5">
            <v>1.3</v>
          </cell>
        </row>
        <row r="6">
          <cell r="E6">
            <v>-40</v>
          </cell>
        </row>
        <row r="7">
          <cell r="E7">
            <v>-20</v>
          </cell>
        </row>
        <row r="8">
          <cell r="E8">
            <v>-10</v>
          </cell>
        </row>
        <row r="9">
          <cell r="E9">
            <v>0</v>
          </cell>
        </row>
        <row r="10">
          <cell r="E10">
            <v>10</v>
          </cell>
        </row>
        <row r="11">
          <cell r="E11">
            <v>25</v>
          </cell>
        </row>
        <row r="12">
          <cell r="E12">
            <v>40</v>
          </cell>
        </row>
        <row r="13">
          <cell r="E13">
            <v>55</v>
          </cell>
        </row>
        <row r="14">
          <cell r="E14">
            <v>70</v>
          </cell>
        </row>
        <row r="15">
          <cell r="E15">
            <v>85</v>
          </cell>
        </row>
        <row r="16">
          <cell r="E16">
            <v>100</v>
          </cell>
        </row>
        <row r="17">
          <cell r="E17">
            <v>105</v>
          </cell>
        </row>
        <row r="18">
          <cell r="E18">
            <v>115</v>
          </cell>
        </row>
        <row r="19">
          <cell r="E19">
            <v>125</v>
          </cell>
        </row>
        <row r="20">
          <cell r="E20">
            <v>133</v>
          </cell>
        </row>
        <row r="94">
          <cell r="B94" t="str">
            <v>Typical</v>
          </cell>
        </row>
        <row r="95">
          <cell r="B95" t="str">
            <v>Maximum</v>
          </cell>
        </row>
      </sheetData>
      <sheetData sheetId="3">
        <row r="6">
          <cell r="L6" t="str">
            <v>Clock_Gated</v>
          </cell>
          <cell r="M6">
            <v>0</v>
          </cell>
        </row>
        <row r="7">
          <cell r="C7" t="str">
            <v>Idle</v>
          </cell>
          <cell r="D7">
            <v>0.32</v>
          </cell>
          <cell r="L7" t="str">
            <v>Idle</v>
          </cell>
          <cell r="M7">
            <v>0.25</v>
          </cell>
        </row>
        <row r="8">
          <cell r="C8" t="str">
            <v>Nops</v>
          </cell>
          <cell r="D8">
            <v>0.55000000000000004</v>
          </cell>
          <cell r="L8" t="str">
            <v>Dhrystone</v>
          </cell>
          <cell r="M8">
            <v>0.66700000000000004</v>
          </cell>
        </row>
        <row r="9">
          <cell r="C9" t="str">
            <v>30-70</v>
          </cell>
          <cell r="D9">
            <v>0.75</v>
          </cell>
          <cell r="L9" t="str">
            <v>25-75</v>
          </cell>
          <cell r="M9">
            <v>0.5</v>
          </cell>
        </row>
        <row r="10">
          <cell r="C10" t="str">
            <v>50-50</v>
          </cell>
          <cell r="D10">
            <v>0.88</v>
          </cell>
          <cell r="L10" t="str">
            <v>50-50</v>
          </cell>
          <cell r="M10">
            <v>0.75</v>
          </cell>
        </row>
        <row r="11">
          <cell r="C11" t="str">
            <v>70-30 (Typical)</v>
          </cell>
          <cell r="D11">
            <v>1</v>
          </cell>
          <cell r="L11" t="str">
            <v>75-25 (Typical)</v>
          </cell>
          <cell r="M11">
            <v>1</v>
          </cell>
        </row>
        <row r="12">
          <cell r="C12" t="str">
            <v>100 (Peak)</v>
          </cell>
          <cell r="D12">
            <v>1.1299999999999999</v>
          </cell>
          <cell r="L12" t="str">
            <v>100 (Peak)</v>
          </cell>
          <cell r="M12">
            <v>1.2</v>
          </cell>
        </row>
      </sheetData>
      <sheetData sheetId="4"/>
      <sheetData sheetId="5"/>
      <sheetData sheetId="6"/>
      <sheetData sheetId="7">
        <row r="3">
          <cell r="C3" t="str">
            <v>NOT USED</v>
          </cell>
        </row>
        <row r="4">
          <cell r="C4" t="str">
            <v>USED</v>
          </cell>
        </row>
      </sheetData>
      <sheetData sheetId="8">
        <row r="3">
          <cell r="C3" t="str">
            <v>NOT USED</v>
          </cell>
          <cell r="D3">
            <v>0</v>
          </cell>
          <cell r="H3" t="str">
            <v>NOT USED</v>
          </cell>
          <cell r="I3">
            <v>0</v>
          </cell>
        </row>
        <row r="4">
          <cell r="C4" t="str">
            <v>SUSPEND-ON</v>
          </cell>
          <cell r="D4">
            <v>0.31</v>
          </cell>
          <cell r="H4" t="str">
            <v>SUSPEND-ON</v>
          </cell>
          <cell r="I4">
            <v>5.5E-2</v>
          </cell>
        </row>
        <row r="5">
          <cell r="C5" t="str">
            <v>HS-MODE</v>
          </cell>
          <cell r="D5">
            <v>9.6</v>
          </cell>
          <cell r="H5" t="str">
            <v>HS-MODE</v>
          </cell>
          <cell r="I5">
            <v>36.33</v>
          </cell>
        </row>
        <row r="6">
          <cell r="C6" t="str">
            <v>FS-MODE</v>
          </cell>
          <cell r="D6">
            <v>6.78</v>
          </cell>
          <cell r="H6" t="str">
            <v>FS-MODE</v>
          </cell>
          <cell r="I6">
            <v>14.68</v>
          </cell>
        </row>
      </sheetData>
      <sheetData sheetId="9">
        <row r="3">
          <cell r="C3" t="str">
            <v>NOT USED</v>
          </cell>
        </row>
        <row r="4">
          <cell r="C4" t="str">
            <v>USED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"/>
  <sheetViews>
    <sheetView showGridLines="0" tabSelected="1" topLeftCell="A28" zoomScale="70" zoomScaleNormal="70" workbookViewId="0">
      <selection activeCell="F8" sqref="F8"/>
    </sheetView>
  </sheetViews>
  <sheetFormatPr defaultColWidth="9.15625" defaultRowHeight="14.4" x14ac:dyDescent="0.55000000000000004"/>
  <cols>
    <col min="1" max="3" width="9.15625" style="1"/>
    <col min="4" max="4" width="26" style="1" customWidth="1"/>
    <col min="5" max="5" width="23.578125" style="1" customWidth="1"/>
    <col min="6" max="6" width="21.15625" style="1" customWidth="1"/>
    <col min="7" max="7" width="16.41796875" style="2" customWidth="1"/>
    <col min="8" max="8" width="22.83984375" style="4" customWidth="1"/>
    <col min="9" max="9" width="18.68359375" style="1" customWidth="1"/>
    <col min="10" max="10" width="31.578125" style="2" customWidth="1"/>
    <col min="11" max="11" width="20.83984375" style="2" customWidth="1"/>
    <col min="12" max="12" width="18.15625" style="7" customWidth="1"/>
    <col min="13" max="13" width="20.578125" style="1" customWidth="1"/>
    <col min="14" max="16384" width="9.15625" style="1"/>
  </cols>
  <sheetData>
    <row r="1" spans="1:24" ht="25.8" x14ac:dyDescent="0.95">
      <c r="A1" s="231" t="s">
        <v>187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24" ht="18.3" x14ac:dyDescent="0.7">
      <c r="A2" s="234" t="s">
        <v>38</v>
      </c>
      <c r="B2" s="234"/>
      <c r="C2" s="234"/>
      <c r="D2" s="234"/>
      <c r="E2" s="234"/>
      <c r="F2" s="234"/>
      <c r="G2" s="234"/>
      <c r="H2" s="234"/>
      <c r="I2" s="234"/>
      <c r="J2" s="233" t="s">
        <v>0</v>
      </c>
      <c r="K2" s="233"/>
      <c r="L2" s="233"/>
      <c r="M2" s="233"/>
    </row>
    <row r="3" spans="1:24" ht="7.5" customHeight="1" x14ac:dyDescent="0.7">
      <c r="A3" s="101"/>
      <c r="B3" s="101"/>
      <c r="C3" s="101"/>
      <c r="D3" s="101"/>
      <c r="E3" s="101"/>
      <c r="F3" s="101"/>
      <c r="G3" s="101"/>
      <c r="H3" s="101"/>
      <c r="I3" s="101"/>
      <c r="J3" s="100"/>
      <c r="K3" s="100"/>
      <c r="L3" s="100"/>
      <c r="M3" s="100"/>
    </row>
    <row r="4" spans="1:24" ht="14.7" thickBot="1" x14ac:dyDescent="0.6"/>
    <row r="5" spans="1:24" ht="48" customHeight="1" x14ac:dyDescent="0.55000000000000004">
      <c r="I5" s="241" t="s">
        <v>113</v>
      </c>
      <c r="J5" s="181" t="s">
        <v>102</v>
      </c>
      <c r="K5" s="114" t="s">
        <v>111</v>
      </c>
      <c r="L5" s="114" t="s">
        <v>112</v>
      </c>
      <c r="M5" s="115" t="s">
        <v>115</v>
      </c>
    </row>
    <row r="6" spans="1:24" ht="39" customHeight="1" x14ac:dyDescent="0.55000000000000004">
      <c r="A6" s="247" t="s">
        <v>1</v>
      </c>
      <c r="B6" s="248"/>
      <c r="C6" s="249"/>
      <c r="D6" s="236" t="s">
        <v>59</v>
      </c>
      <c r="E6" s="237"/>
      <c r="F6" s="238"/>
      <c r="G6" s="1"/>
      <c r="H6" s="3"/>
      <c r="I6" s="242"/>
      <c r="J6" s="182" t="s">
        <v>134</v>
      </c>
      <c r="K6" s="117" t="s">
        <v>103</v>
      </c>
      <c r="L6" s="117" t="s">
        <v>104</v>
      </c>
      <c r="M6" s="118" t="s">
        <v>105</v>
      </c>
    </row>
    <row r="7" spans="1:24" x14ac:dyDescent="0.55000000000000004">
      <c r="I7" s="242"/>
      <c r="J7" s="183" t="s">
        <v>135</v>
      </c>
      <c r="K7" s="117" t="s">
        <v>106</v>
      </c>
      <c r="L7" s="117" t="s">
        <v>104</v>
      </c>
      <c r="M7" s="118" t="s">
        <v>107</v>
      </c>
      <c r="N7" s="39"/>
    </row>
    <row r="8" spans="1:24" ht="14.7" thickBot="1" x14ac:dyDescent="0.6">
      <c r="I8" s="243"/>
      <c r="J8" s="184" t="s">
        <v>136</v>
      </c>
      <c r="K8" s="119" t="s">
        <v>108</v>
      </c>
      <c r="L8" s="119" t="s">
        <v>109</v>
      </c>
      <c r="M8" s="120" t="s">
        <v>110</v>
      </c>
      <c r="N8" s="39"/>
      <c r="O8"/>
      <c r="P8"/>
      <c r="Q8"/>
      <c r="R8"/>
      <c r="S8"/>
      <c r="T8"/>
      <c r="U8"/>
      <c r="V8"/>
      <c r="W8"/>
      <c r="X8"/>
    </row>
    <row r="9" spans="1:24" ht="14.7" thickBot="1" x14ac:dyDescent="0.6">
      <c r="M9" s="39"/>
      <c r="N9" s="39"/>
      <c r="O9"/>
      <c r="P9"/>
      <c r="Q9"/>
      <c r="R9"/>
      <c r="S9"/>
      <c r="T9"/>
      <c r="U9"/>
      <c r="V9"/>
      <c r="W9"/>
      <c r="X9"/>
    </row>
    <row r="10" spans="1:24" x14ac:dyDescent="0.55000000000000004">
      <c r="B10" s="220" t="s">
        <v>31</v>
      </c>
      <c r="C10" s="221"/>
      <c r="D10" s="240" t="s">
        <v>13</v>
      </c>
      <c r="E10" s="240"/>
      <c r="F10" s="240"/>
      <c r="G10" s="240"/>
      <c r="H10" s="104" t="s">
        <v>12</v>
      </c>
      <c r="M10" s="40"/>
      <c r="N10" s="22"/>
      <c r="O10"/>
      <c r="P10" s="254"/>
      <c r="Q10" s="254"/>
      <c r="R10" s="254"/>
      <c r="S10" s="254"/>
      <c r="T10"/>
      <c r="U10"/>
      <c r="V10"/>
      <c r="W10"/>
      <c r="X10"/>
    </row>
    <row r="11" spans="1:24" ht="15.75" customHeight="1" thickBot="1" x14ac:dyDescent="0.6">
      <c r="B11" s="222"/>
      <c r="C11" s="223"/>
      <c r="D11" s="211" t="s">
        <v>62</v>
      </c>
      <c r="E11" s="211"/>
      <c r="F11" s="211"/>
      <c r="G11" s="6">
        <v>1000</v>
      </c>
      <c r="H11" s="50">
        <f>G11*L13*E46*0.714</f>
        <v>714</v>
      </c>
      <c r="M11" s="40"/>
      <c r="N11" s="22"/>
      <c r="O11"/>
      <c r="P11"/>
      <c r="Q11" s="254"/>
      <c r="R11" s="254"/>
      <c r="S11"/>
      <c r="T11"/>
      <c r="U11"/>
      <c r="V11"/>
      <c r="W11"/>
      <c r="X11"/>
    </row>
    <row r="12" spans="1:24" ht="15.75" customHeight="1" x14ac:dyDescent="0.75">
      <c r="B12" s="222"/>
      <c r="C12" s="223"/>
      <c r="D12" s="211" t="s">
        <v>156</v>
      </c>
      <c r="E12" s="211"/>
      <c r="F12" s="211"/>
      <c r="G12" s="6">
        <v>1000</v>
      </c>
      <c r="H12" s="50">
        <f>G12*L13*E57*0.714</f>
        <v>714</v>
      </c>
      <c r="J12" s="244" t="s">
        <v>98</v>
      </c>
      <c r="K12" s="245"/>
      <c r="L12" s="246"/>
      <c r="M12" s="40"/>
      <c r="N12" s="22"/>
      <c r="O12"/>
      <c r="P12"/>
      <c r="Q12"/>
      <c r="R12"/>
      <c r="S12"/>
      <c r="T12"/>
      <c r="U12"/>
      <c r="V12"/>
      <c r="W12"/>
      <c r="X12"/>
    </row>
    <row r="13" spans="1:24" ht="15.75" customHeight="1" x14ac:dyDescent="0.75">
      <c r="B13" s="222"/>
      <c r="C13" s="223"/>
      <c r="D13" s="211" t="s">
        <v>186</v>
      </c>
      <c r="E13" s="211"/>
      <c r="F13" s="211"/>
      <c r="G13" s="6">
        <v>1200</v>
      </c>
      <c r="H13" s="50">
        <f>G13*L13*E34*0.468</f>
        <v>561.6</v>
      </c>
      <c r="J13" s="253" t="s">
        <v>32</v>
      </c>
      <c r="K13" s="252"/>
      <c r="L13" s="110">
        <v>1</v>
      </c>
      <c r="M13" s="40"/>
      <c r="N13" s="22"/>
      <c r="O13"/>
      <c r="P13"/>
      <c r="Q13"/>
      <c r="R13"/>
      <c r="S13"/>
      <c r="T13"/>
      <c r="U13"/>
      <c r="V13"/>
      <c r="W13"/>
      <c r="X13"/>
    </row>
    <row r="14" spans="1:24" ht="15.75" customHeight="1" x14ac:dyDescent="0.75">
      <c r="B14" s="222"/>
      <c r="C14" s="223"/>
      <c r="D14" s="226" t="s">
        <v>2</v>
      </c>
      <c r="E14" s="226"/>
      <c r="F14" s="226"/>
      <c r="G14" s="6">
        <v>500</v>
      </c>
      <c r="H14" s="23">
        <f xml:space="preserve"> 0.792* G14 * L13</f>
        <v>396</v>
      </c>
      <c r="J14" s="253" t="s">
        <v>7</v>
      </c>
      <c r="K14" s="252"/>
      <c r="L14" s="110">
        <v>125</v>
      </c>
      <c r="M14" s="239"/>
      <c r="N14" s="239"/>
      <c r="O14"/>
      <c r="P14"/>
      <c r="Q14"/>
      <c r="R14"/>
      <c r="S14"/>
      <c r="T14"/>
      <c r="U14"/>
      <c r="V14"/>
      <c r="W14"/>
      <c r="X14"/>
    </row>
    <row r="15" spans="1:24" x14ac:dyDescent="0.55000000000000004">
      <c r="B15" s="222"/>
      <c r="C15" s="223"/>
      <c r="D15" s="226" t="s">
        <v>3</v>
      </c>
      <c r="E15" s="226"/>
      <c r="F15" s="226"/>
      <c r="G15" s="6">
        <v>125</v>
      </c>
      <c r="H15" s="23">
        <f xml:space="preserve"> 0.451* G15 *L13</f>
        <v>56.375</v>
      </c>
      <c r="J15" s="253" t="s">
        <v>16</v>
      </c>
      <c r="K15" s="252"/>
      <c r="L15" s="23">
        <f>INDEX('VDD_INT Static Current'!C4:'VDD_INT Static Current'!E18,MATCH('Power Estimation'!L14,'VDD_INT Static Current'!B4:'VDD_INT Static Current'!B18,0),MATCH('Power Estimation'!L13,'VDD_INT Static Current'!C3:'VDD_INT Static Current'!E3,0))</f>
        <v>3523</v>
      </c>
      <c r="M15" s="239"/>
      <c r="N15" s="239"/>
      <c r="O15"/>
      <c r="P15"/>
      <c r="Q15"/>
      <c r="R15"/>
      <c r="S15"/>
      <c r="T15"/>
      <c r="U15"/>
      <c r="V15"/>
      <c r="W15"/>
      <c r="X15"/>
    </row>
    <row r="16" spans="1:24" x14ac:dyDescent="0.55000000000000004">
      <c r="B16" s="222"/>
      <c r="C16" s="223"/>
      <c r="D16" s="226" t="s">
        <v>4</v>
      </c>
      <c r="E16" s="226"/>
      <c r="F16" s="226"/>
      <c r="G16" s="6">
        <v>333.3</v>
      </c>
      <c r="H16" s="23">
        <f xml:space="preserve"> 0.014 * G16 * L13</f>
        <v>4.6661999999999999</v>
      </c>
      <c r="J16" s="235" t="s">
        <v>63</v>
      </c>
      <c r="K16" s="211"/>
      <c r="L16" s="23">
        <f>(H20+H71)</f>
        <v>3417.4412000000002</v>
      </c>
      <c r="M16" s="239"/>
      <c r="N16" s="239"/>
      <c r="O16"/>
      <c r="P16"/>
      <c r="Q16"/>
      <c r="R16"/>
      <c r="S16"/>
      <c r="T16"/>
      <c r="U16"/>
      <c r="V16"/>
      <c r="W16"/>
      <c r="X16"/>
    </row>
    <row r="17" spans="2:24" ht="14.7" thickBot="1" x14ac:dyDescent="0.6">
      <c r="B17" s="222"/>
      <c r="C17" s="223"/>
      <c r="D17" s="226" t="s">
        <v>5</v>
      </c>
      <c r="E17" s="226"/>
      <c r="F17" s="226"/>
      <c r="G17" s="6">
        <v>900</v>
      </c>
      <c r="H17" s="23">
        <f xml:space="preserve"> 0.097* G17 * L13</f>
        <v>87.3</v>
      </c>
      <c r="J17" s="111" t="s">
        <v>64</v>
      </c>
      <c r="K17" s="112"/>
      <c r="L17" s="113">
        <f>L15+L16</f>
        <v>6940.4412000000002</v>
      </c>
      <c r="M17" s="239"/>
      <c r="N17" s="239"/>
      <c r="O17"/>
      <c r="P17"/>
      <c r="Q17"/>
      <c r="R17"/>
      <c r="S17"/>
      <c r="T17"/>
      <c r="U17"/>
      <c r="V17"/>
      <c r="W17"/>
      <c r="X17"/>
    </row>
    <row r="18" spans="2:24" x14ac:dyDescent="0.55000000000000004">
      <c r="B18" s="222"/>
      <c r="C18" s="223"/>
      <c r="D18" s="250" t="s">
        <v>17</v>
      </c>
      <c r="E18" s="251"/>
      <c r="F18" s="252"/>
      <c r="G18" s="6">
        <v>125</v>
      </c>
      <c r="H18" s="23">
        <f xml:space="preserve"> 0.108 * G18 * L13</f>
        <v>13.5</v>
      </c>
      <c r="J18" s="21"/>
      <c r="K18" s="14"/>
      <c r="M18" s="239"/>
      <c r="N18" s="239"/>
      <c r="O18"/>
      <c r="P18"/>
      <c r="Q18"/>
      <c r="R18"/>
      <c r="S18"/>
      <c r="T18"/>
      <c r="U18"/>
      <c r="V18"/>
      <c r="W18"/>
      <c r="X18"/>
    </row>
    <row r="19" spans="2:24" x14ac:dyDescent="0.55000000000000004">
      <c r="B19" s="222"/>
      <c r="C19" s="223"/>
      <c r="D19" s="226" t="s">
        <v>114</v>
      </c>
      <c r="E19" s="226"/>
      <c r="F19" s="226"/>
      <c r="G19" s="6" t="s">
        <v>27</v>
      </c>
      <c r="H19" s="23">
        <f>VLOOKUP(G19, 'VDD_INT DMA Usage'!C4:I6, 2, FALSE) *L13</f>
        <v>220</v>
      </c>
      <c r="O19"/>
      <c r="P19"/>
      <c r="Q19"/>
      <c r="R19"/>
      <c r="S19"/>
      <c r="T19"/>
      <c r="U19"/>
      <c r="V19"/>
      <c r="W19"/>
      <c r="X19"/>
    </row>
    <row r="20" spans="2:24" ht="14.7" thickBot="1" x14ac:dyDescent="0.6">
      <c r="B20" s="222"/>
      <c r="C20" s="223"/>
      <c r="D20" s="227" t="s">
        <v>14</v>
      </c>
      <c r="E20" s="227"/>
      <c r="F20" s="227"/>
      <c r="G20" s="227"/>
      <c r="H20" s="49">
        <f>SUM(H11:H19)</f>
        <v>2767.4412000000002</v>
      </c>
      <c r="O20"/>
      <c r="P20"/>
      <c r="Q20"/>
      <c r="R20"/>
      <c r="S20"/>
      <c r="T20"/>
      <c r="U20"/>
      <c r="V20"/>
      <c r="W20"/>
      <c r="X20"/>
    </row>
    <row r="21" spans="2:24" ht="16.8" x14ac:dyDescent="0.75">
      <c r="B21" s="222"/>
      <c r="C21" s="223"/>
      <c r="D21" s="186"/>
      <c r="E21" s="186"/>
      <c r="F21" s="186"/>
      <c r="G21" s="14"/>
      <c r="H21" s="15"/>
      <c r="J21" s="274" t="s">
        <v>171</v>
      </c>
      <c r="K21" s="275"/>
      <c r="L21" s="106">
        <f>L16*L13/1000</f>
        <v>3.4174412000000003</v>
      </c>
      <c r="M21" s="38"/>
      <c r="N21" s="38"/>
      <c r="O21"/>
      <c r="P21" s="254"/>
      <c r="Q21" s="254"/>
      <c r="R21"/>
      <c r="S21"/>
      <c r="T21"/>
      <c r="U21"/>
      <c r="V21"/>
      <c r="W21"/>
      <c r="X21"/>
    </row>
    <row r="22" spans="2:24" ht="16.8" x14ac:dyDescent="0.75">
      <c r="B22" s="222"/>
      <c r="C22" s="223"/>
      <c r="D22" s="219"/>
      <c r="E22" s="219"/>
      <c r="F22" s="19"/>
      <c r="G22" s="19"/>
      <c r="H22" s="187"/>
      <c r="J22" s="276" t="s">
        <v>172</v>
      </c>
      <c r="K22" s="277"/>
      <c r="L22" s="24">
        <f>L15*L13/1000</f>
        <v>3.5230000000000001</v>
      </c>
      <c r="M22" s="38"/>
      <c r="N22" s="38"/>
      <c r="O22"/>
      <c r="P22"/>
      <c r="Q22"/>
      <c r="R22"/>
      <c r="S22"/>
      <c r="T22"/>
      <c r="U22"/>
      <c r="V22"/>
      <c r="W22"/>
      <c r="X22"/>
    </row>
    <row r="23" spans="2:24" x14ac:dyDescent="0.55000000000000004">
      <c r="B23" s="222"/>
      <c r="C23" s="223"/>
      <c r="D23" s="19"/>
      <c r="E23" s="19"/>
      <c r="F23" s="19"/>
      <c r="G23" s="19"/>
      <c r="H23" s="187"/>
      <c r="J23" s="270" t="s">
        <v>33</v>
      </c>
      <c r="K23" s="271"/>
      <c r="L23" s="268">
        <f>L21+L22</f>
        <v>6.9404412000000004</v>
      </c>
      <c r="M23" s="38"/>
      <c r="N23" s="38"/>
      <c r="O23"/>
      <c r="P23"/>
      <c r="Q23"/>
      <c r="R23"/>
      <c r="S23"/>
      <c r="T23"/>
      <c r="U23"/>
      <c r="V23"/>
      <c r="W23"/>
      <c r="X23"/>
    </row>
    <row r="24" spans="2:24" ht="14.7" thickBot="1" x14ac:dyDescent="0.6">
      <c r="B24" s="222"/>
      <c r="C24" s="223"/>
      <c r="D24" s="186"/>
      <c r="E24" s="186"/>
      <c r="F24" s="186"/>
      <c r="G24" s="14"/>
      <c r="H24" s="15"/>
      <c r="J24" s="272"/>
      <c r="K24" s="273"/>
      <c r="L24" s="269"/>
      <c r="M24" s="38"/>
      <c r="N24" s="38"/>
      <c r="O24"/>
      <c r="P24"/>
      <c r="Q24"/>
      <c r="R24"/>
      <c r="S24"/>
      <c r="T24"/>
      <c r="U24"/>
      <c r="V24"/>
      <c r="W24"/>
      <c r="X24"/>
    </row>
    <row r="25" spans="2:24" x14ac:dyDescent="0.55000000000000004">
      <c r="B25" s="222"/>
      <c r="C25" s="223"/>
      <c r="D25" s="230" t="s">
        <v>151</v>
      </c>
      <c r="E25" s="230"/>
      <c r="F25" s="186"/>
      <c r="G25" s="14"/>
      <c r="H25" s="15"/>
      <c r="J25" s="22"/>
      <c r="K25" s="22"/>
      <c r="L25" s="22"/>
      <c r="M25" s="38"/>
      <c r="N25" s="38"/>
      <c r="O25" s="38"/>
    </row>
    <row r="26" spans="2:24" ht="28.8" x14ac:dyDescent="0.55000000000000004">
      <c r="B26" s="222"/>
      <c r="C26" s="223"/>
      <c r="D26" s="5" t="s">
        <v>152</v>
      </c>
      <c r="E26" s="174" t="s">
        <v>153</v>
      </c>
      <c r="F26" s="186"/>
      <c r="G26" s="14"/>
      <c r="H26" s="15"/>
      <c r="J26" s="1"/>
      <c r="K26" s="1"/>
      <c r="L26" s="1"/>
      <c r="N26" s="38"/>
      <c r="O26" s="38"/>
    </row>
    <row r="27" spans="2:24" ht="14.7" thickBot="1" x14ac:dyDescent="0.6">
      <c r="B27" s="222"/>
      <c r="C27" s="223"/>
      <c r="D27" s="175" t="s">
        <v>30</v>
      </c>
      <c r="E27" s="176">
        <v>0</v>
      </c>
      <c r="F27" s="186"/>
      <c r="G27" s="14"/>
      <c r="H27" s="15"/>
      <c r="J27" s="1"/>
      <c r="K27" s="1"/>
      <c r="L27" s="1"/>
      <c r="N27" s="38"/>
      <c r="O27" s="38"/>
    </row>
    <row r="28" spans="2:24" x14ac:dyDescent="0.55000000000000004">
      <c r="B28" s="222"/>
      <c r="C28" s="223"/>
      <c r="D28" s="177" t="s">
        <v>68</v>
      </c>
      <c r="E28" s="6">
        <v>0</v>
      </c>
      <c r="F28" s="186"/>
      <c r="G28" s="14"/>
      <c r="H28" s="15"/>
      <c r="J28" s="259" t="s">
        <v>34</v>
      </c>
      <c r="K28" s="260"/>
      <c r="L28" s="261"/>
      <c r="M28" s="255">
        <f>L23+H76+H83+H90</f>
        <v>7.5927344812500008</v>
      </c>
      <c r="N28" s="38"/>
      <c r="O28" s="38"/>
    </row>
    <row r="29" spans="2:24" x14ac:dyDescent="0.55000000000000004">
      <c r="B29" s="222"/>
      <c r="C29" s="223"/>
      <c r="D29" s="177" t="s">
        <v>168</v>
      </c>
      <c r="E29" s="6">
        <v>0</v>
      </c>
      <c r="F29" s="186"/>
      <c r="G29" s="14"/>
      <c r="H29" s="15"/>
      <c r="J29" s="262"/>
      <c r="K29" s="263"/>
      <c r="L29" s="264"/>
      <c r="M29" s="256"/>
      <c r="N29" s="38"/>
      <c r="O29" s="38"/>
    </row>
    <row r="30" spans="2:24" x14ac:dyDescent="0.55000000000000004">
      <c r="B30" s="222"/>
      <c r="C30" s="223"/>
      <c r="D30" s="177" t="s">
        <v>169</v>
      </c>
      <c r="E30" s="6">
        <v>0</v>
      </c>
      <c r="F30" s="186"/>
      <c r="G30" s="14"/>
      <c r="H30" s="15"/>
      <c r="J30" s="262"/>
      <c r="K30" s="263"/>
      <c r="L30" s="264"/>
      <c r="M30" s="256"/>
      <c r="N30" s="38"/>
      <c r="O30" s="38"/>
    </row>
    <row r="31" spans="2:24" ht="14.7" thickBot="1" x14ac:dyDescent="0.6">
      <c r="B31" s="222"/>
      <c r="C31" s="223"/>
      <c r="D31" s="177" t="s">
        <v>10</v>
      </c>
      <c r="E31" s="6">
        <v>0</v>
      </c>
      <c r="F31" s="186"/>
      <c r="G31" s="14"/>
      <c r="H31" s="15"/>
      <c r="J31" s="265"/>
      <c r="K31" s="266"/>
      <c r="L31" s="267"/>
      <c r="M31" s="257"/>
      <c r="N31" s="38"/>
      <c r="O31" s="38"/>
    </row>
    <row r="32" spans="2:24" x14ac:dyDescent="0.55000000000000004">
      <c r="B32" s="222"/>
      <c r="C32" s="223"/>
      <c r="D32" s="177" t="s">
        <v>184</v>
      </c>
      <c r="E32" s="6">
        <v>1</v>
      </c>
      <c r="F32" s="186"/>
      <c r="G32" s="14"/>
      <c r="H32" s="15"/>
      <c r="N32" s="38"/>
      <c r="O32" s="38"/>
    </row>
    <row r="33" spans="2:15" x14ac:dyDescent="0.55000000000000004">
      <c r="B33" s="222"/>
      <c r="C33" s="223"/>
      <c r="D33" s="177" t="s">
        <v>170</v>
      </c>
      <c r="E33" s="6">
        <v>0</v>
      </c>
      <c r="F33" s="186"/>
      <c r="G33" s="14"/>
      <c r="H33" s="15"/>
      <c r="N33" s="38"/>
      <c r="O33" s="38"/>
    </row>
    <row r="34" spans="2:15" ht="14.5" customHeight="1" x14ac:dyDescent="0.55000000000000004">
      <c r="B34" s="222"/>
      <c r="C34" s="223"/>
      <c r="D34" s="5" t="s">
        <v>26</v>
      </c>
      <c r="E34" s="99">
        <f>VLOOKUP(D27,'VDD_INT CORE ASF'!N4:O10,2,FALSE)*E27 + VLOOKUP(D28,'VDD_INT CORE ASF'!N4:O10,2,FALSE)*E28 + VLOOKUP(D29,'VDD_INT CORE ASF'!N4:O10,2,FALSE)*E29+ VLOOKUP(D30,'VDD_INT CORE ASF'!N4:O10,2,FALSE)*E30+ VLOOKUP(D31,'VDD_INT CORE ASF'!N4:O10,2,FALSE)*E31+ VLOOKUP(D32,'VDD_INT CORE ASF'!N4:O10,2,FALSE)*E32+ VLOOKUP(D33,'VDD_INT CORE ASF'!N4:O10,2,FALSE)*E33</f>
        <v>1</v>
      </c>
      <c r="F34" s="186"/>
      <c r="G34" s="14"/>
      <c r="H34" s="15"/>
      <c r="N34" s="38"/>
      <c r="O34" s="38"/>
    </row>
    <row r="35" spans="2:15" ht="14.5" customHeight="1" x14ac:dyDescent="0.55000000000000004">
      <c r="B35" s="222"/>
      <c r="C35" s="223"/>
      <c r="D35" s="186"/>
      <c r="E35" s="186"/>
      <c r="F35" s="186"/>
      <c r="G35" s="14"/>
      <c r="H35" s="15"/>
      <c r="N35" s="38"/>
      <c r="O35" s="38"/>
    </row>
    <row r="36" spans="2:15" ht="14.5" customHeight="1" x14ac:dyDescent="0.55000000000000004">
      <c r="B36" s="222"/>
      <c r="C36" s="223"/>
      <c r="D36" s="186"/>
      <c r="E36" s="186"/>
      <c r="F36" s="186"/>
      <c r="G36" s="14"/>
      <c r="H36" s="15"/>
      <c r="N36" s="38"/>
      <c r="O36" s="38"/>
    </row>
    <row r="37" spans="2:15" ht="15" customHeight="1" x14ac:dyDescent="0.55000000000000004">
      <c r="B37" s="222"/>
      <c r="C37" s="223"/>
      <c r="D37" s="258" t="s">
        <v>71</v>
      </c>
      <c r="E37" s="258"/>
      <c r="F37" s="228"/>
      <c r="G37" s="228"/>
      <c r="H37" s="15"/>
      <c r="N37" s="38"/>
      <c r="O37" s="38"/>
    </row>
    <row r="38" spans="2:15" ht="15.75" customHeight="1" x14ac:dyDescent="0.55000000000000004">
      <c r="B38" s="222"/>
      <c r="C38" s="223"/>
      <c r="D38" s="102" t="s">
        <v>69</v>
      </c>
      <c r="E38" s="20">
        <v>0</v>
      </c>
      <c r="F38" s="65"/>
      <c r="G38" s="65"/>
      <c r="H38" s="15"/>
      <c r="N38" s="38"/>
      <c r="O38" s="38"/>
    </row>
    <row r="39" spans="2:15" ht="15.75" customHeight="1" x14ac:dyDescent="0.55000000000000004">
      <c r="B39" s="222"/>
      <c r="C39" s="223"/>
      <c r="D39" s="102" t="s">
        <v>30</v>
      </c>
      <c r="E39" s="20">
        <v>0</v>
      </c>
      <c r="F39" s="65"/>
      <c r="G39" s="65"/>
      <c r="H39" s="15"/>
    </row>
    <row r="40" spans="2:15" x14ac:dyDescent="0.55000000000000004">
      <c r="B40" s="222"/>
      <c r="C40" s="223"/>
      <c r="D40" s="103" t="s">
        <v>68</v>
      </c>
      <c r="E40" s="6">
        <v>0</v>
      </c>
      <c r="F40" s="65"/>
      <c r="G40" s="65"/>
      <c r="H40" s="15"/>
    </row>
    <row r="41" spans="2:15" x14ac:dyDescent="0.55000000000000004">
      <c r="B41" s="222"/>
      <c r="C41" s="223"/>
      <c r="D41" s="103" t="s">
        <v>65</v>
      </c>
      <c r="E41" s="6">
        <v>0</v>
      </c>
      <c r="F41" s="62"/>
      <c r="G41" s="63"/>
      <c r="H41" s="15"/>
    </row>
    <row r="42" spans="2:15" ht="15" customHeight="1" x14ac:dyDescent="0.55000000000000004">
      <c r="B42" s="222"/>
      <c r="C42" s="223"/>
      <c r="D42" s="103" t="s">
        <v>9</v>
      </c>
      <c r="E42" s="6">
        <v>0</v>
      </c>
      <c r="F42" s="186"/>
      <c r="G42" s="14"/>
      <c r="H42" s="15"/>
    </row>
    <row r="43" spans="2:15" ht="15" customHeight="1" x14ac:dyDescent="0.55000000000000004">
      <c r="B43" s="222"/>
      <c r="C43" s="223"/>
      <c r="D43" s="103" t="s">
        <v>10</v>
      </c>
      <c r="E43" s="6">
        <v>0</v>
      </c>
      <c r="F43" s="186"/>
      <c r="G43" s="14"/>
      <c r="H43" s="15"/>
    </row>
    <row r="44" spans="2:15" x14ac:dyDescent="0.55000000000000004">
      <c r="B44" s="222"/>
      <c r="C44" s="223"/>
      <c r="D44" s="103" t="s">
        <v>11</v>
      </c>
      <c r="E44" s="6">
        <v>1</v>
      </c>
      <c r="F44" s="186"/>
      <c r="G44" s="14"/>
      <c r="H44" s="15"/>
    </row>
    <row r="45" spans="2:15" x14ac:dyDescent="0.55000000000000004">
      <c r="B45" s="222"/>
      <c r="C45" s="223"/>
      <c r="D45" s="103" t="s">
        <v>67</v>
      </c>
      <c r="E45" s="6">
        <v>0</v>
      </c>
      <c r="F45" s="186"/>
      <c r="G45" s="14"/>
      <c r="H45" s="15"/>
    </row>
    <row r="46" spans="2:15" ht="19.5" customHeight="1" x14ac:dyDescent="0.55000000000000004">
      <c r="B46" s="222"/>
      <c r="C46" s="223"/>
      <c r="D46" s="5" t="s">
        <v>26</v>
      </c>
      <c r="E46" s="99">
        <f>VLOOKUP(D38, 'VDD_INT CORE ASF'!C4:D11, 2, FALSE)*E38 + VLOOKUP(D39, 'VDD_INT CORE ASF'!C4:D11, 2, FALSE)*E39
+VLOOKUP(D40, 'VDD_INT CORE ASF'!C4:D11, 2, FALSE)*E40 + VLOOKUP(D41, 'VDD_INT CORE ASF'!C4:D11, 2, FALSE)*E41
+VLOOKUP(D42, 'VDD_INT CORE ASF'!C4:D11, 2, FALSE)*E42 + VLOOKUP(D43, 'VDD_INT CORE ASF'!C4:D11, 2, FALSE)*E43
+VLOOKUP(D44, 'VDD_INT CORE ASF'!C4:D11, 2, FALSE)*E44 + VLOOKUP(D45, 'VDD_INT CORE ASF'!C4:D11, 2, FALSE)*E45</f>
        <v>1</v>
      </c>
      <c r="F46" s="186"/>
      <c r="G46" s="14"/>
      <c r="H46" s="15"/>
      <c r="J46" s="19"/>
      <c r="K46" s="19"/>
      <c r="L46" s="19"/>
      <c r="M46" s="13"/>
    </row>
    <row r="47" spans="2:15" ht="17.25" customHeight="1" x14ac:dyDescent="0.55000000000000004">
      <c r="B47" s="222"/>
      <c r="C47" s="223"/>
      <c r="D47" s="186"/>
      <c r="E47" s="186"/>
      <c r="F47" s="186"/>
      <c r="G47" s="14"/>
      <c r="H47" s="15"/>
    </row>
    <row r="48" spans="2:15" ht="17.25" customHeight="1" x14ac:dyDescent="0.55000000000000004">
      <c r="B48" s="222"/>
      <c r="C48" s="223"/>
      <c r="D48" s="212" t="s">
        <v>155</v>
      </c>
      <c r="E48" s="213"/>
      <c r="F48" s="186"/>
      <c r="G48" s="14"/>
      <c r="H48" s="15"/>
    </row>
    <row r="49" spans="2:13" ht="17.25" customHeight="1" x14ac:dyDescent="0.55000000000000004">
      <c r="B49" s="222"/>
      <c r="C49" s="223"/>
      <c r="D49" s="102" t="s">
        <v>69</v>
      </c>
      <c r="E49" s="20">
        <v>0</v>
      </c>
      <c r="F49" s="186"/>
      <c r="G49" s="14"/>
      <c r="H49" s="15"/>
    </row>
    <row r="50" spans="2:13" ht="17.25" customHeight="1" x14ac:dyDescent="0.55000000000000004">
      <c r="B50" s="222"/>
      <c r="C50" s="223"/>
      <c r="D50" s="102" t="s">
        <v>30</v>
      </c>
      <c r="E50" s="20">
        <v>0</v>
      </c>
      <c r="F50" s="186"/>
      <c r="G50" s="14"/>
      <c r="H50" s="15"/>
    </row>
    <row r="51" spans="2:13" ht="17.25" customHeight="1" x14ac:dyDescent="0.55000000000000004">
      <c r="B51" s="222"/>
      <c r="C51" s="223"/>
      <c r="D51" s="103" t="s">
        <v>68</v>
      </c>
      <c r="E51" s="6">
        <v>0</v>
      </c>
      <c r="F51" s="186"/>
      <c r="G51" s="14"/>
      <c r="H51" s="15"/>
    </row>
    <row r="52" spans="2:13" ht="17.25" customHeight="1" x14ac:dyDescent="0.55000000000000004">
      <c r="B52" s="222"/>
      <c r="C52" s="223"/>
      <c r="D52" s="103" t="s">
        <v>65</v>
      </c>
      <c r="E52" s="6">
        <v>0</v>
      </c>
      <c r="F52" s="186"/>
      <c r="G52" s="14"/>
      <c r="H52" s="15"/>
    </row>
    <row r="53" spans="2:13" ht="17.25" customHeight="1" x14ac:dyDescent="0.55000000000000004">
      <c r="B53" s="222"/>
      <c r="C53" s="223"/>
      <c r="D53" s="103" t="s">
        <v>9</v>
      </c>
      <c r="E53" s="6">
        <v>0</v>
      </c>
      <c r="F53" s="186"/>
      <c r="G53" s="14"/>
      <c r="H53" s="15"/>
    </row>
    <row r="54" spans="2:13" ht="17.25" customHeight="1" x14ac:dyDescent="0.55000000000000004">
      <c r="B54" s="222"/>
      <c r="C54" s="223"/>
      <c r="D54" s="103" t="s">
        <v>10</v>
      </c>
      <c r="E54" s="6">
        <v>0</v>
      </c>
      <c r="F54" s="186"/>
      <c r="G54" s="14"/>
      <c r="H54" s="15"/>
    </row>
    <row r="55" spans="2:13" ht="17.25" customHeight="1" x14ac:dyDescent="0.55000000000000004">
      <c r="B55" s="222"/>
      <c r="C55" s="223"/>
      <c r="D55" s="103" t="s">
        <v>11</v>
      </c>
      <c r="E55" s="6">
        <v>1</v>
      </c>
      <c r="F55" s="186"/>
      <c r="G55" s="14"/>
      <c r="H55" s="15"/>
    </row>
    <row r="56" spans="2:13" ht="17.25" customHeight="1" x14ac:dyDescent="0.55000000000000004">
      <c r="B56" s="222"/>
      <c r="C56" s="223"/>
      <c r="D56" s="103" t="s">
        <v>67</v>
      </c>
      <c r="E56" s="6">
        <v>0</v>
      </c>
      <c r="F56" s="186"/>
      <c r="G56" s="14"/>
      <c r="H56" s="15"/>
    </row>
    <row r="57" spans="2:13" ht="17.25" customHeight="1" x14ac:dyDescent="0.55000000000000004">
      <c r="B57" s="222"/>
      <c r="C57" s="223"/>
      <c r="D57" s="5" t="s">
        <v>26</v>
      </c>
      <c r="E57" s="99">
        <f>VLOOKUP(D49, 'VDD_INT CORE ASF'!C4:D11, 2, FALSE)*E49 + VLOOKUP(D50, 'VDD_INT CORE ASF'!C4:D11, 2, FALSE)*E50
+VLOOKUP(D51, 'VDD_INT CORE ASF'!C4:D11, 2, FALSE)*E51 + VLOOKUP(D52, 'VDD_INT CORE ASF'!C4:D11, 2, FALSE)*E52
+VLOOKUP(D53, 'VDD_INT CORE ASF'!C4:D11, 2, FALSE)*E53 + VLOOKUP(D54, 'VDD_INT CORE ASF'!C4:D11, 2, FALSE)*E54
+VLOOKUP(D55, 'VDD_INT CORE ASF'!C4:D11, 2, FALSE)*E55 + VLOOKUP(D56, 'VDD_INT CORE ASF'!C4:D11, 2, FALSE)*E56</f>
        <v>1</v>
      </c>
      <c r="F57" s="186"/>
      <c r="G57" s="14"/>
      <c r="H57" s="15"/>
    </row>
    <row r="58" spans="2:13" ht="17.25" customHeight="1" x14ac:dyDescent="0.55000000000000004">
      <c r="B58" s="222"/>
      <c r="C58" s="223"/>
      <c r="D58" s="186"/>
      <c r="E58" s="186"/>
      <c r="F58" s="186"/>
      <c r="G58" s="14"/>
      <c r="H58" s="15"/>
      <c r="J58" s="19"/>
      <c r="K58" s="19"/>
      <c r="L58" s="19"/>
      <c r="M58" s="13"/>
    </row>
    <row r="59" spans="2:13" ht="15" customHeight="1" x14ac:dyDescent="0.55000000000000004">
      <c r="B59" s="222"/>
      <c r="C59" s="223"/>
      <c r="D59" s="186"/>
      <c r="E59" s="186"/>
      <c r="F59" s="186"/>
      <c r="G59" s="14"/>
      <c r="H59" s="15"/>
    </row>
    <row r="60" spans="2:13" ht="15" customHeight="1" x14ac:dyDescent="0.55000000000000004">
      <c r="B60" s="222"/>
      <c r="C60" s="223"/>
      <c r="D60" s="185" t="s">
        <v>6</v>
      </c>
      <c r="E60" s="229" t="s">
        <v>161</v>
      </c>
      <c r="F60" s="229"/>
      <c r="G60" s="107"/>
      <c r="H60" s="109"/>
    </row>
    <row r="61" spans="2:13" ht="15" customHeight="1" x14ac:dyDescent="0.55000000000000004">
      <c r="B61" s="222"/>
      <c r="C61" s="223"/>
      <c r="D61" s="214" t="s">
        <v>60</v>
      </c>
      <c r="E61" s="180" t="s">
        <v>157</v>
      </c>
      <c r="F61" s="173" t="s">
        <v>142</v>
      </c>
      <c r="G61" s="41">
        <v>50</v>
      </c>
      <c r="H61" s="188">
        <f>('VDD_INT Accelerators'!C4) *G61/100* L13*G11/1000</f>
        <v>165</v>
      </c>
    </row>
    <row r="62" spans="2:13" ht="15" customHeight="1" x14ac:dyDescent="0.55000000000000004">
      <c r="B62" s="222"/>
      <c r="C62" s="223"/>
      <c r="D62" s="215"/>
      <c r="E62" s="180" t="s">
        <v>158</v>
      </c>
      <c r="F62" s="173" t="s">
        <v>142</v>
      </c>
      <c r="G62" s="41">
        <v>50</v>
      </c>
      <c r="H62" s="188">
        <f>('VDD_INT Accelerators'!C4) *G62/100* L13*G12/1000</f>
        <v>165</v>
      </c>
    </row>
    <row r="63" spans="2:13" ht="15" customHeight="1" x14ac:dyDescent="0.55000000000000004">
      <c r="B63" s="222"/>
      <c r="C63" s="223"/>
      <c r="D63" s="216" t="s">
        <v>61</v>
      </c>
      <c r="E63" s="180" t="s">
        <v>159</v>
      </c>
      <c r="F63" s="173" t="s">
        <v>142</v>
      </c>
      <c r="G63" s="41">
        <v>50</v>
      </c>
      <c r="H63" s="188">
        <f>('VDD_INT Accelerators'!C7) *G63/100 *L13*G11/1000</f>
        <v>40</v>
      </c>
    </row>
    <row r="64" spans="2:13" ht="15" customHeight="1" x14ac:dyDescent="0.55000000000000004">
      <c r="B64" s="222"/>
      <c r="C64" s="223"/>
      <c r="D64" s="217"/>
      <c r="E64" s="180" t="s">
        <v>160</v>
      </c>
      <c r="F64" s="173" t="s">
        <v>142</v>
      </c>
      <c r="G64" s="41">
        <v>50</v>
      </c>
      <c r="H64" s="188">
        <f>('VDD_INT Accelerators'!C7) *G64/100 *L13*G11/1000</f>
        <v>40</v>
      </c>
    </row>
    <row r="65" spans="2:13" ht="15" customHeight="1" x14ac:dyDescent="0.55000000000000004">
      <c r="B65" s="222"/>
      <c r="C65" s="223"/>
      <c r="D65" s="217"/>
      <c r="E65" s="180" t="s">
        <v>162</v>
      </c>
      <c r="F65" s="173" t="s">
        <v>142</v>
      </c>
      <c r="G65" s="41">
        <v>50</v>
      </c>
      <c r="H65" s="188">
        <f>('VDD_INT Accelerators'!C7) *G65/100 *L13*G11/1000</f>
        <v>40</v>
      </c>
    </row>
    <row r="66" spans="2:13" ht="15" customHeight="1" x14ac:dyDescent="0.55000000000000004">
      <c r="B66" s="222"/>
      <c r="C66" s="223"/>
      <c r="D66" s="217"/>
      <c r="E66" s="180" t="s">
        <v>163</v>
      </c>
      <c r="F66" s="173" t="s">
        <v>142</v>
      </c>
      <c r="G66" s="41">
        <v>50</v>
      </c>
      <c r="H66" s="188">
        <f>('VDD_INT Accelerators'!C7) *G66/100 *L13*G11/1000</f>
        <v>40</v>
      </c>
    </row>
    <row r="67" spans="2:13" ht="15" customHeight="1" x14ac:dyDescent="0.55000000000000004">
      <c r="B67" s="222"/>
      <c r="C67" s="223"/>
      <c r="D67" s="217"/>
      <c r="E67" s="180" t="s">
        <v>164</v>
      </c>
      <c r="F67" s="173" t="s">
        <v>142</v>
      </c>
      <c r="G67" s="41">
        <v>50</v>
      </c>
      <c r="H67" s="188">
        <f>('VDD_INT Accelerators'!C7) *G67/100 *L13*G12/1000</f>
        <v>40</v>
      </c>
    </row>
    <row r="68" spans="2:13" ht="15" customHeight="1" x14ac:dyDescent="0.55000000000000004">
      <c r="B68" s="222"/>
      <c r="C68" s="223"/>
      <c r="D68" s="217"/>
      <c r="E68" s="180" t="s">
        <v>165</v>
      </c>
      <c r="F68" s="173" t="s">
        <v>142</v>
      </c>
      <c r="G68" s="41">
        <v>50</v>
      </c>
      <c r="H68" s="188">
        <f>('VDD_INT Accelerators'!C7) *G68/100 *L13*G12/1000</f>
        <v>40</v>
      </c>
    </row>
    <row r="69" spans="2:13" ht="15" customHeight="1" x14ac:dyDescent="0.55000000000000004">
      <c r="B69" s="222"/>
      <c r="C69" s="223"/>
      <c r="D69" s="217"/>
      <c r="E69" s="180" t="s">
        <v>166</v>
      </c>
      <c r="F69" s="173" t="s">
        <v>142</v>
      </c>
      <c r="G69" s="41">
        <v>50</v>
      </c>
      <c r="H69" s="188">
        <f>('VDD_INT Accelerators'!C7) *G69/100 *L13*G12/1000</f>
        <v>40</v>
      </c>
    </row>
    <row r="70" spans="2:13" ht="15" customHeight="1" x14ac:dyDescent="0.55000000000000004">
      <c r="B70" s="222"/>
      <c r="C70" s="223"/>
      <c r="D70" s="218"/>
      <c r="E70" s="180" t="s">
        <v>167</v>
      </c>
      <c r="F70" s="173" t="s">
        <v>142</v>
      </c>
      <c r="G70" s="41">
        <v>50</v>
      </c>
      <c r="H70" s="179">
        <f>('VDD_INT Accelerators'!C7) *G70/100 *L13*G12/1000</f>
        <v>40</v>
      </c>
    </row>
    <row r="71" spans="2:13" ht="15" customHeight="1" thickBot="1" x14ac:dyDescent="0.6">
      <c r="B71" s="224"/>
      <c r="C71" s="225"/>
      <c r="D71" s="189" t="s">
        <v>15</v>
      </c>
      <c r="E71" s="190"/>
      <c r="F71" s="190"/>
      <c r="G71" s="191"/>
      <c r="H71" s="192">
        <f>SUM(H61:H70)</f>
        <v>650</v>
      </c>
    </row>
    <row r="72" spans="2:13" ht="15" customHeight="1" thickBot="1" x14ac:dyDescent="0.6">
      <c r="B72" s="37"/>
      <c r="C72" s="13"/>
      <c r="D72" s="13"/>
      <c r="E72" s="13"/>
      <c r="F72" s="13"/>
      <c r="G72" s="14"/>
      <c r="H72" s="15"/>
    </row>
    <row r="73" spans="2:13" x14ac:dyDescent="0.55000000000000004">
      <c r="B73" s="208" t="s">
        <v>42</v>
      </c>
      <c r="C73" s="42"/>
      <c r="D73" s="10"/>
      <c r="E73" s="10"/>
      <c r="F73" s="10"/>
      <c r="G73" s="10"/>
      <c r="H73" s="43"/>
    </row>
    <row r="74" spans="2:13" ht="16.8" x14ac:dyDescent="0.75">
      <c r="B74" s="209"/>
      <c r="C74" s="44"/>
      <c r="D74" s="34" t="s">
        <v>44</v>
      </c>
      <c r="E74" s="35"/>
      <c r="F74" s="36"/>
      <c r="G74" s="6">
        <v>3.3</v>
      </c>
      <c r="H74" s="15"/>
    </row>
    <row r="75" spans="2:13" ht="16.8" x14ac:dyDescent="0.75">
      <c r="B75" s="209"/>
      <c r="C75" s="44"/>
      <c r="D75" s="34" t="s">
        <v>75</v>
      </c>
      <c r="E75" s="35"/>
      <c r="F75" s="35"/>
      <c r="G75" s="36"/>
      <c r="H75" s="23">
        <f>H76/G74</f>
        <v>0.112921875</v>
      </c>
    </row>
    <row r="76" spans="2:13" ht="16.8" x14ac:dyDescent="0.75">
      <c r="B76" s="209"/>
      <c r="C76" s="44"/>
      <c r="D76" s="34" t="s">
        <v>45</v>
      </c>
      <c r="E76" s="35"/>
      <c r="F76" s="35"/>
      <c r="G76" s="36"/>
      <c r="H76" s="194">
        <f>'VDD_EXT &amp; VDD_REF Power'!K24/1000</f>
        <v>0.3726421875</v>
      </c>
      <c r="J76" s="19"/>
      <c r="K76" s="19"/>
      <c r="L76" s="19"/>
      <c r="M76" s="13"/>
    </row>
    <row r="77" spans="2:13" x14ac:dyDescent="0.55000000000000004">
      <c r="B77" s="209"/>
      <c r="C77" s="44"/>
      <c r="D77" s="13"/>
      <c r="E77" s="13"/>
      <c r="F77" s="13"/>
      <c r="G77" s="14"/>
      <c r="H77" s="15"/>
    </row>
    <row r="78" spans="2:13" ht="4.5" customHeight="1" thickBot="1" x14ac:dyDescent="0.6">
      <c r="B78" s="209"/>
      <c r="C78" s="44"/>
      <c r="D78" s="13"/>
      <c r="E78" s="13"/>
      <c r="F78" s="13"/>
      <c r="G78" s="14"/>
      <c r="H78" s="15"/>
      <c r="J78" s="1"/>
      <c r="K78" s="1"/>
      <c r="L78" s="1"/>
    </row>
    <row r="79" spans="2:13" ht="14.7" hidden="1" thickBot="1" x14ac:dyDescent="0.6">
      <c r="B79" s="210"/>
      <c r="C79" s="44"/>
      <c r="D79" s="13"/>
      <c r="E79" s="13"/>
      <c r="F79" s="13"/>
      <c r="G79" s="14"/>
      <c r="H79" s="15"/>
      <c r="J79" s="1"/>
      <c r="K79" s="1"/>
      <c r="L79" s="1"/>
    </row>
    <row r="80" spans="2:13" x14ac:dyDescent="0.55000000000000004">
      <c r="B80" s="202" t="s">
        <v>43</v>
      </c>
      <c r="C80" s="42"/>
      <c r="D80" s="10"/>
      <c r="E80" s="10"/>
      <c r="F80" s="10"/>
      <c r="G80" s="11"/>
      <c r="H80" s="12"/>
      <c r="J80" s="1"/>
      <c r="K80" s="1"/>
      <c r="L80" s="1"/>
    </row>
    <row r="81" spans="2:12" ht="16.8" x14ac:dyDescent="0.75">
      <c r="B81" s="203"/>
      <c r="C81" s="44"/>
      <c r="D81" s="34" t="s">
        <v>46</v>
      </c>
      <c r="E81" s="35"/>
      <c r="F81" s="36"/>
      <c r="G81" s="105">
        <v>1.35</v>
      </c>
      <c r="H81" s="15"/>
      <c r="J81" s="1"/>
      <c r="K81" s="1"/>
      <c r="L81" s="1"/>
    </row>
    <row r="82" spans="2:12" ht="16.8" x14ac:dyDescent="0.75">
      <c r="B82" s="203"/>
      <c r="C82" s="44"/>
      <c r="D82" s="34" t="s">
        <v>76</v>
      </c>
      <c r="E82" s="35"/>
      <c r="F82" s="35"/>
      <c r="G82" s="36"/>
      <c r="H82" s="23">
        <f>H83/G81</f>
        <v>0.14088229166666663</v>
      </c>
      <c r="J82" s="1"/>
      <c r="K82" s="1"/>
      <c r="L82" s="1"/>
    </row>
    <row r="83" spans="2:12" ht="16.8" x14ac:dyDescent="0.75">
      <c r="B83" s="203"/>
      <c r="C83" s="44"/>
      <c r="D83" s="34" t="s">
        <v>47</v>
      </c>
      <c r="E83" s="35"/>
      <c r="F83" s="35"/>
      <c r="G83" s="36"/>
      <c r="H83" s="194">
        <f>'VDD_DMC Power'!K15/1000</f>
        <v>0.19019109374999996</v>
      </c>
      <c r="J83" s="1"/>
      <c r="K83" s="1"/>
      <c r="L83" s="1"/>
    </row>
    <row r="84" spans="2:12" x14ac:dyDescent="0.55000000000000004">
      <c r="B84" s="203"/>
      <c r="C84" s="44"/>
      <c r="D84" s="13"/>
      <c r="E84" s="13"/>
      <c r="F84" s="13"/>
      <c r="G84" s="14"/>
      <c r="H84" s="15"/>
      <c r="J84" s="1"/>
      <c r="K84" s="1"/>
      <c r="L84" s="1"/>
    </row>
    <row r="85" spans="2:12" ht="13.15" customHeight="1" thickBot="1" x14ac:dyDescent="0.6">
      <c r="B85" s="203"/>
      <c r="C85" s="44"/>
      <c r="D85" s="13"/>
      <c r="E85" s="13"/>
      <c r="F85" s="13"/>
      <c r="G85" s="14"/>
      <c r="H85" s="15"/>
      <c r="J85" s="1"/>
      <c r="K85" s="1"/>
      <c r="L85" s="1"/>
    </row>
    <row r="86" spans="2:12" ht="14.7" hidden="1" thickBot="1" x14ac:dyDescent="0.6">
      <c r="B86" s="204"/>
      <c r="C86" s="45"/>
      <c r="D86" s="16"/>
      <c r="E86" s="16"/>
      <c r="F86" s="16"/>
      <c r="G86" s="17"/>
      <c r="H86" s="18"/>
      <c r="J86" s="1"/>
      <c r="K86" s="1"/>
      <c r="L86" s="1"/>
    </row>
    <row r="87" spans="2:12" ht="15" customHeight="1" x14ac:dyDescent="0.55000000000000004">
      <c r="B87" s="205" t="s">
        <v>118</v>
      </c>
      <c r="C87" s="10"/>
      <c r="D87" s="10"/>
      <c r="E87" s="10"/>
      <c r="F87" s="10"/>
      <c r="G87" s="11"/>
      <c r="H87" s="12"/>
      <c r="J87" s="1"/>
      <c r="K87" s="1"/>
      <c r="L87" s="1"/>
    </row>
    <row r="88" spans="2:12" ht="16.8" x14ac:dyDescent="0.75">
      <c r="B88" s="206"/>
      <c r="C88" s="13"/>
      <c r="D88" s="70" t="s">
        <v>72</v>
      </c>
      <c r="E88" s="72"/>
      <c r="F88" s="71"/>
      <c r="G88" s="6">
        <v>1.8</v>
      </c>
      <c r="H88" s="15"/>
      <c r="J88" s="1"/>
      <c r="K88" s="1"/>
      <c r="L88" s="1"/>
    </row>
    <row r="89" spans="2:12" ht="16.8" x14ac:dyDescent="0.75">
      <c r="B89" s="206"/>
      <c r="C89" s="13"/>
      <c r="D89" s="70" t="s">
        <v>77</v>
      </c>
      <c r="E89" s="72"/>
      <c r="F89" s="72"/>
      <c r="G89" s="74"/>
      <c r="H89" s="23">
        <f>H90/G88</f>
        <v>4.9700000000000008E-2</v>
      </c>
      <c r="J89" s="1"/>
      <c r="K89" s="1"/>
      <c r="L89" s="1"/>
    </row>
    <row r="90" spans="2:12" ht="16.8" x14ac:dyDescent="0.75">
      <c r="B90" s="206"/>
      <c r="C90" s="13"/>
      <c r="D90" s="46" t="s">
        <v>58</v>
      </c>
      <c r="E90" s="47"/>
      <c r="F90" s="47"/>
      <c r="G90" s="48"/>
      <c r="H90" s="194">
        <f>'VDD_EXT &amp; VDD_REF Power'!K25/1000</f>
        <v>8.9460000000000012E-2</v>
      </c>
      <c r="J90" s="1"/>
      <c r="K90" s="1"/>
      <c r="L90" s="1"/>
    </row>
    <row r="91" spans="2:12" x14ac:dyDescent="0.55000000000000004">
      <c r="B91" s="206"/>
      <c r="C91" s="13"/>
      <c r="D91" s="21"/>
      <c r="E91" s="21"/>
      <c r="F91" s="21"/>
      <c r="G91" s="21"/>
      <c r="H91" s="73"/>
      <c r="J91" s="1"/>
      <c r="K91" s="1"/>
      <c r="L91" s="1"/>
    </row>
    <row r="92" spans="2:12" ht="16.149999999999999" customHeight="1" thickBot="1" x14ac:dyDescent="0.6">
      <c r="B92" s="207"/>
      <c r="C92" s="16"/>
      <c r="D92" s="16"/>
      <c r="E92" s="16"/>
      <c r="F92" s="16"/>
      <c r="G92" s="17"/>
      <c r="H92" s="18"/>
      <c r="J92" s="1"/>
      <c r="K92" s="1"/>
      <c r="L92" s="1"/>
    </row>
  </sheetData>
  <dataConsolidate/>
  <mergeCells count="44">
    <mergeCell ref="P10:S10"/>
    <mergeCell ref="Q11:R11"/>
    <mergeCell ref="P21:Q21"/>
    <mergeCell ref="M28:M31"/>
    <mergeCell ref="D37:E37"/>
    <mergeCell ref="J28:L31"/>
    <mergeCell ref="L23:L24"/>
    <mergeCell ref="J14:K14"/>
    <mergeCell ref="J15:K15"/>
    <mergeCell ref="J23:K24"/>
    <mergeCell ref="J21:K21"/>
    <mergeCell ref="J22:K22"/>
    <mergeCell ref="A1:N1"/>
    <mergeCell ref="J2:M2"/>
    <mergeCell ref="A2:I2"/>
    <mergeCell ref="D11:F11"/>
    <mergeCell ref="J16:K16"/>
    <mergeCell ref="D6:F6"/>
    <mergeCell ref="M14:N18"/>
    <mergeCell ref="D10:G10"/>
    <mergeCell ref="D14:F14"/>
    <mergeCell ref="D15:F15"/>
    <mergeCell ref="I5:I8"/>
    <mergeCell ref="J12:L12"/>
    <mergeCell ref="A6:C6"/>
    <mergeCell ref="D16:F16"/>
    <mergeCell ref="D18:F18"/>
    <mergeCell ref="J13:K13"/>
    <mergeCell ref="B80:B86"/>
    <mergeCell ref="B87:B92"/>
    <mergeCell ref="B73:B79"/>
    <mergeCell ref="D13:F13"/>
    <mergeCell ref="D48:E48"/>
    <mergeCell ref="D61:D62"/>
    <mergeCell ref="D63:D70"/>
    <mergeCell ref="D22:E22"/>
    <mergeCell ref="B10:C71"/>
    <mergeCell ref="D19:F19"/>
    <mergeCell ref="D17:F17"/>
    <mergeCell ref="D20:G20"/>
    <mergeCell ref="F37:G37"/>
    <mergeCell ref="E60:F60"/>
    <mergeCell ref="D25:E25"/>
    <mergeCell ref="D12:F12"/>
  </mergeCells>
  <dataValidations xWindow="511" yWindow="532" count="10">
    <dataValidation type="list" showInputMessage="1" showErrorMessage="1" sqref="K18" xr:uid="{00000000-0002-0000-0000-000001000000}">
      <formula1>Temperature</formula1>
    </dataValidation>
    <dataValidation type="list" showInputMessage="1" showErrorMessage="1" sqref="K17" xr:uid="{00000000-0002-0000-0000-000002000000}">
      <formula1>VDD_INT</formula1>
    </dataValidation>
    <dataValidation type="list" allowBlank="1" showInputMessage="1" showErrorMessage="1" sqref="N10" xr:uid="{00000000-0002-0000-0000-000004000000}">
      <formula1>SIDD_Levels</formula1>
    </dataValidation>
    <dataValidation allowBlank="1" showInputMessage="1" showErrorMessage="1" error="Wrong Input" prompt="Sum of these fractions should be 1" sqref="E45 E38:E43 E56 E49:E54" xr:uid="{00000000-0002-0000-0000-000007000000}"/>
    <dataValidation allowBlank="1" showInputMessage="1" showErrorMessage="1" promptTitle="Config Warning" prompt="Consult the processor datasheet to ensure settings are within specification" sqref="G81 G11:G18 G88:G89" xr:uid="{00000000-0002-0000-0000-00000A000000}"/>
    <dataValidation allowBlank="1" showInputMessage="1" showErrorMessage="1" promptTitle="Configuration Warning" prompt="Consult the processor datasheet to ensure settings are within specification" sqref="G74" xr:uid="{00000000-0002-0000-0000-00000B000000}"/>
    <dataValidation allowBlank="1" showInputMessage="1" showErrorMessage="1" error="Wrong Input_x000a_" prompt="Sum of these fractions should be 1" sqref="E44 E55" xr:uid="{A8741C9B-1227-4624-8CB4-136334FC7B9D}"/>
    <dataValidation showInputMessage="1" showErrorMessage="1" error="Wrong input" prompt="Sum of these fractions should be 1" sqref="E27" xr:uid="{D9FFF71D-6875-45DA-B1EF-DD0B50B3032A}"/>
    <dataValidation allowBlank="1" showInputMessage="1" showErrorMessage="1" prompt="Sum of these fractions should be 1" sqref="E28:E33" xr:uid="{D0EAF3A7-DD00-494E-A24E-40888BB43CCD}"/>
    <dataValidation allowBlank="1" showInputMessage="1" showErrorMessage="1" prompt="Enter the percentage of time FIR is active. The value should be from 0 to 100." sqref="G61:G70" xr:uid="{4DDFD273-F02F-4419-ABFD-F4AEAECD1AC3}"/>
  </dataValidations>
  <pageMargins left="0.7" right="0.7" top="0.75" bottom="0.75" header="0.3" footer="0.3"/>
  <pageSetup paperSize="9" orientation="portrait" verticalDpi="1200" r:id="rId1"/>
  <extLst>
    <ext xmlns:x14="http://schemas.microsoft.com/office/spreadsheetml/2009/9/main" uri="{CCE6A557-97BC-4b89-ADB6-D9C93CAAB3DF}">
      <x14:dataValidations xmlns:xm="http://schemas.microsoft.com/office/excel/2006/main" xWindow="511" yWindow="532" count="3">
        <x14:dataValidation type="list" showInputMessage="1" error="Use value form Drop down" promptTitle="DMA Profile" prompt="Select DMA Profile" xr:uid="{00000000-0002-0000-0000-000009000000}">
          <x14:formula1>
            <xm:f>'VDD_INT DMA Usage'!$C$4:$C$6</xm:f>
          </x14:formula1>
          <xm:sqref>G19</xm:sqref>
        </x14:dataValidation>
        <x14:dataValidation type="list" allowBlank="1" showInputMessage="1" showErrorMessage="1" xr:uid="{389D0325-07C3-4EEF-A344-AE3244D028B8}">
          <x14:formula1>
            <xm:f>'VDD_INT Static Current'!$B$5:$B$18</xm:f>
          </x14:formula1>
          <xm:sqref>L14</xm:sqref>
        </x14:dataValidation>
        <x14:dataValidation type="list" allowBlank="1" showInputMessage="1" showErrorMessage="1" xr:uid="{86D7DB47-0006-4D33-BD79-0B05BF0E609B}">
          <x14:formula1>
            <xm:f>'VDD_INT Static Current'!$C$3:$E$3</xm:f>
          </x14:formula1>
          <xm:sqref>L13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DBB7-4E98-4AFB-B2AD-2390669E769F}">
  <dimension ref="B2:E21"/>
  <sheetViews>
    <sheetView zoomScaleNormal="100" workbookViewId="0">
      <selection activeCell="B35" sqref="B35"/>
    </sheetView>
  </sheetViews>
  <sheetFormatPr defaultColWidth="9" defaultRowHeight="14.4" x14ac:dyDescent="0.55000000000000004"/>
  <cols>
    <col min="1" max="1" width="9" style="1"/>
    <col min="2" max="2" width="21.578125" style="1" customWidth="1"/>
    <col min="3" max="16384" width="9" style="1"/>
  </cols>
  <sheetData>
    <row r="2" spans="2:5" ht="16.8" x14ac:dyDescent="0.75">
      <c r="B2" s="60" t="s">
        <v>16</v>
      </c>
      <c r="C2" s="278" t="s">
        <v>141</v>
      </c>
      <c r="D2" s="229"/>
      <c r="E2" s="279"/>
    </row>
    <row r="3" spans="2:5" x14ac:dyDescent="0.55000000000000004">
      <c r="B3" s="60" t="s">
        <v>50</v>
      </c>
      <c r="C3" s="60">
        <v>0.95</v>
      </c>
      <c r="D3" s="60">
        <v>1</v>
      </c>
      <c r="E3" s="60">
        <v>1.05</v>
      </c>
    </row>
    <row r="4" spans="2:5" hidden="1" x14ac:dyDescent="0.55000000000000004">
      <c r="B4" s="60">
        <v>-45</v>
      </c>
      <c r="C4" s="121"/>
      <c r="D4" s="121"/>
      <c r="E4" s="121"/>
    </row>
    <row r="5" spans="2:5" x14ac:dyDescent="0.55000000000000004">
      <c r="B5" s="60">
        <v>-40</v>
      </c>
      <c r="C5" s="193">
        <v>22</v>
      </c>
      <c r="D5" s="193">
        <v>29</v>
      </c>
      <c r="E5" s="193">
        <v>39</v>
      </c>
    </row>
    <row r="6" spans="2:5" x14ac:dyDescent="0.55000000000000004">
      <c r="B6" s="60">
        <v>-20</v>
      </c>
      <c r="C6" s="193">
        <v>38</v>
      </c>
      <c r="D6" s="193">
        <v>49</v>
      </c>
      <c r="E6" s="193">
        <v>63</v>
      </c>
    </row>
    <row r="7" spans="2:5" x14ac:dyDescent="0.55000000000000004">
      <c r="B7" s="60">
        <v>-10</v>
      </c>
      <c r="C7" s="193">
        <v>51</v>
      </c>
      <c r="D7" s="193">
        <v>65</v>
      </c>
      <c r="E7" s="193">
        <v>83</v>
      </c>
    </row>
    <row r="8" spans="2:5" x14ac:dyDescent="0.55000000000000004">
      <c r="B8" s="60">
        <v>0</v>
      </c>
      <c r="C8" s="193">
        <v>70</v>
      </c>
      <c r="D8" s="193">
        <v>88</v>
      </c>
      <c r="E8" s="193">
        <v>110</v>
      </c>
    </row>
    <row r="9" spans="2:5" x14ac:dyDescent="0.55000000000000004">
      <c r="B9" s="60">
        <v>10</v>
      </c>
      <c r="C9" s="193">
        <v>97</v>
      </c>
      <c r="D9" s="193">
        <v>120</v>
      </c>
      <c r="E9" s="193">
        <v>148</v>
      </c>
    </row>
    <row r="10" spans="2:5" x14ac:dyDescent="0.55000000000000004">
      <c r="B10" s="60">
        <v>25</v>
      </c>
      <c r="C10" s="193">
        <v>158</v>
      </c>
      <c r="D10" s="193">
        <v>191</v>
      </c>
      <c r="E10" s="193">
        <v>233</v>
      </c>
    </row>
    <row r="11" spans="2:5" x14ac:dyDescent="0.55000000000000004">
      <c r="B11" s="60">
        <v>40</v>
      </c>
      <c r="C11" s="193">
        <v>257</v>
      </c>
      <c r="D11" s="193">
        <v>306</v>
      </c>
      <c r="E11" s="193">
        <v>367</v>
      </c>
    </row>
    <row r="12" spans="2:5" x14ac:dyDescent="0.55000000000000004">
      <c r="B12" s="60">
        <v>55</v>
      </c>
      <c r="C12" s="193">
        <v>410</v>
      </c>
      <c r="D12" s="193">
        <v>481</v>
      </c>
      <c r="E12" s="193">
        <v>568</v>
      </c>
    </row>
    <row r="13" spans="2:5" x14ac:dyDescent="0.55000000000000004">
      <c r="B13" s="60">
        <v>70</v>
      </c>
      <c r="C13" s="193">
        <v>642</v>
      </c>
      <c r="D13" s="193">
        <v>747</v>
      </c>
      <c r="E13" s="193">
        <v>874</v>
      </c>
    </row>
    <row r="14" spans="2:5" x14ac:dyDescent="0.55000000000000004">
      <c r="B14" s="60">
        <v>85</v>
      </c>
      <c r="C14" s="193">
        <v>994</v>
      </c>
      <c r="D14" s="193">
        <v>1147</v>
      </c>
      <c r="E14" s="193">
        <v>1332</v>
      </c>
    </row>
    <row r="15" spans="2:5" x14ac:dyDescent="0.55000000000000004">
      <c r="B15" s="60">
        <v>100</v>
      </c>
      <c r="C15" s="193">
        <v>1519</v>
      </c>
      <c r="D15" s="193">
        <v>1746</v>
      </c>
      <c r="E15" s="193">
        <v>2021</v>
      </c>
    </row>
    <row r="16" spans="2:5" x14ac:dyDescent="0.55000000000000004">
      <c r="B16" s="60">
        <v>105</v>
      </c>
      <c r="C16" s="193">
        <v>1753</v>
      </c>
      <c r="D16" s="193">
        <v>2015</v>
      </c>
      <c r="E16" s="193">
        <v>2328</v>
      </c>
    </row>
    <row r="17" spans="2:5" x14ac:dyDescent="0.55000000000000004">
      <c r="B17" s="60">
        <v>115</v>
      </c>
      <c r="C17" s="193">
        <v>2311</v>
      </c>
      <c r="D17" s="193">
        <v>2660</v>
      </c>
      <c r="E17" s="193">
        <v>3078</v>
      </c>
    </row>
    <row r="18" spans="2:5" x14ac:dyDescent="0.55000000000000004">
      <c r="B18" s="60">
        <v>125</v>
      </c>
      <c r="C18" s="193">
        <v>3055</v>
      </c>
      <c r="D18" s="193">
        <v>3523</v>
      </c>
      <c r="E18" s="193">
        <v>4100</v>
      </c>
    </row>
    <row r="21" spans="2:5" x14ac:dyDescent="0.55000000000000004">
      <c r="B21" s="61" t="s">
        <v>70</v>
      </c>
    </row>
  </sheetData>
  <mergeCells count="1">
    <mergeCell ref="C2:E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F9E6-2E3A-463D-8926-B999D0B4B8BF}">
  <dimension ref="B3:AC33"/>
  <sheetViews>
    <sheetView zoomScale="60" zoomScaleNormal="60" workbookViewId="0">
      <selection activeCell="N10" sqref="N10"/>
    </sheetView>
  </sheetViews>
  <sheetFormatPr defaultColWidth="9" defaultRowHeight="14.4" x14ac:dyDescent="0.55000000000000004"/>
  <cols>
    <col min="1" max="1" width="9" style="1"/>
    <col min="2" max="2" width="12.578125" style="1" customWidth="1"/>
    <col min="3" max="3" width="20.83984375" style="1" customWidth="1"/>
    <col min="4" max="4" width="19.15625" style="1" customWidth="1"/>
    <col min="5" max="6" width="9" style="1"/>
    <col min="7" max="7" width="18.41796875" style="1" customWidth="1"/>
    <col min="8" max="8" width="20.578125" style="1" customWidth="1"/>
    <col min="9" max="9" width="15" style="1" customWidth="1"/>
    <col min="10" max="13" width="9" style="1" customWidth="1"/>
    <col min="14" max="14" width="27.15625" style="1" customWidth="1"/>
    <col min="15" max="15" width="14.41796875" style="1" customWidth="1"/>
    <col min="16" max="16384" width="9" style="1"/>
  </cols>
  <sheetData>
    <row r="3" spans="2:29" ht="19.5" customHeight="1" x14ac:dyDescent="0.55000000000000004">
      <c r="B3" s="172" t="s">
        <v>143</v>
      </c>
      <c r="C3" s="52" t="s">
        <v>66</v>
      </c>
      <c r="D3" s="53" t="s">
        <v>8</v>
      </c>
      <c r="G3" s="280"/>
      <c r="H3" s="66"/>
      <c r="I3" s="67"/>
      <c r="M3" s="172" t="s">
        <v>173</v>
      </c>
      <c r="N3" s="52" t="s">
        <v>66</v>
      </c>
      <c r="O3" s="53" t="s">
        <v>8</v>
      </c>
    </row>
    <row r="4" spans="2:29" ht="19.5" customHeight="1" x14ac:dyDescent="0.55000000000000004">
      <c r="B4" s="54"/>
      <c r="C4" s="55" t="s">
        <v>69</v>
      </c>
      <c r="D4" s="178">
        <v>0.28000000000000003</v>
      </c>
      <c r="G4" s="280"/>
      <c r="H4" s="68"/>
      <c r="I4" s="69"/>
      <c r="M4" s="54"/>
      <c r="N4" s="55" t="s">
        <v>30</v>
      </c>
      <c r="O4" s="56">
        <v>0</v>
      </c>
    </row>
    <row r="5" spans="2:29" x14ac:dyDescent="0.55000000000000004">
      <c r="B5" s="54"/>
      <c r="C5" s="55" t="s">
        <v>30</v>
      </c>
      <c r="D5" s="57">
        <v>0</v>
      </c>
      <c r="G5" s="64"/>
      <c r="H5" s="13"/>
      <c r="I5" s="13"/>
      <c r="M5" s="54"/>
      <c r="N5" s="55" t="s">
        <v>68</v>
      </c>
      <c r="O5" s="178">
        <v>0.04</v>
      </c>
    </row>
    <row r="6" spans="2:29" x14ac:dyDescent="0.55000000000000004">
      <c r="B6" s="58"/>
      <c r="C6" s="57" t="s">
        <v>68</v>
      </c>
      <c r="D6" s="178">
        <v>0.43</v>
      </c>
      <c r="G6" s="13"/>
      <c r="H6" s="13"/>
      <c r="I6" s="13"/>
      <c r="M6" s="59"/>
      <c r="N6" s="57" t="s">
        <v>168</v>
      </c>
      <c r="O6" s="178">
        <v>0.45</v>
      </c>
    </row>
    <row r="7" spans="2:29" x14ac:dyDescent="0.55000000000000004">
      <c r="B7" s="58"/>
      <c r="C7" s="57" t="s">
        <v>65</v>
      </c>
      <c r="D7" s="178">
        <v>0.56999999999999995</v>
      </c>
      <c r="G7" s="280"/>
      <c r="H7" s="66"/>
      <c r="I7" s="67"/>
      <c r="M7" s="59"/>
      <c r="N7" s="57" t="s">
        <v>169</v>
      </c>
      <c r="O7" s="178">
        <v>0.37</v>
      </c>
    </row>
    <row r="8" spans="2:29" x14ac:dyDescent="0.55000000000000004">
      <c r="B8" s="58"/>
      <c r="C8" s="57" t="s">
        <v>9</v>
      </c>
      <c r="D8" s="178">
        <v>0.79</v>
      </c>
      <c r="G8" s="280"/>
      <c r="H8" s="68"/>
      <c r="I8" s="69"/>
      <c r="M8" s="59"/>
      <c r="N8" s="57" t="s">
        <v>10</v>
      </c>
      <c r="O8" s="178">
        <v>0.79</v>
      </c>
    </row>
    <row r="9" spans="2:29" x14ac:dyDescent="0.55000000000000004">
      <c r="B9" s="58"/>
      <c r="C9" s="57" t="s">
        <v>10</v>
      </c>
      <c r="D9" s="178">
        <v>0.89</v>
      </c>
      <c r="G9" s="280"/>
      <c r="H9" s="68"/>
      <c r="I9" s="69"/>
      <c r="M9" s="59"/>
      <c r="N9" s="57" t="s">
        <v>184</v>
      </c>
      <c r="O9" s="178">
        <v>1</v>
      </c>
    </row>
    <row r="10" spans="2:29" ht="14.25" customHeight="1" x14ac:dyDescent="0.7">
      <c r="B10" s="58"/>
      <c r="C10" s="57" t="s">
        <v>11</v>
      </c>
      <c r="D10" s="178">
        <v>1</v>
      </c>
      <c r="G10" s="13"/>
      <c r="H10" s="51"/>
      <c r="I10" s="51"/>
      <c r="M10" s="59"/>
      <c r="N10" s="57" t="s">
        <v>170</v>
      </c>
      <c r="O10" s="178">
        <v>1.26</v>
      </c>
    </row>
    <row r="11" spans="2:29" ht="18" customHeight="1" x14ac:dyDescent="0.7">
      <c r="B11" s="59"/>
      <c r="C11" s="57" t="s">
        <v>67</v>
      </c>
      <c r="D11" s="178">
        <v>1.1000000000000001</v>
      </c>
      <c r="G11" s="13"/>
      <c r="H11" s="51"/>
      <c r="I11" s="51"/>
    </row>
    <row r="12" spans="2:29" ht="18.3" x14ac:dyDescent="0.7">
      <c r="H12" s="51"/>
      <c r="I12" s="51"/>
    </row>
    <row r="13" spans="2:29" ht="18.3" x14ac:dyDescent="0.7">
      <c r="H13" s="51"/>
      <c r="I13" s="51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2:29" x14ac:dyDescent="0.55000000000000004">
      <c r="B14" s="164" t="s">
        <v>39</v>
      </c>
      <c r="C14" s="165"/>
      <c r="D14" s="166"/>
      <c r="E14" s="166"/>
      <c r="F14" s="166"/>
      <c r="G14" s="166"/>
      <c r="H14" s="166"/>
      <c r="I14" s="167"/>
      <c r="J14" s="168"/>
      <c r="K14" s="13"/>
      <c r="L14" s="13"/>
      <c r="M14" s="164" t="s">
        <v>174</v>
      </c>
      <c r="N14" s="165"/>
      <c r="O14" s="196"/>
      <c r="P14" s="196"/>
      <c r="Q14" s="196"/>
      <c r="R14" s="196"/>
      <c r="S14" s="196"/>
      <c r="T14" s="196"/>
      <c r="U14" s="196"/>
      <c r="V14" s="196"/>
      <c r="W14" s="197"/>
      <c r="X14" s="13"/>
      <c r="Y14" s="13"/>
      <c r="Z14" s="13"/>
      <c r="AA14" s="13"/>
      <c r="AB14" s="13"/>
      <c r="AC14" s="13"/>
    </row>
    <row r="15" spans="2:29" ht="16.8" x14ac:dyDescent="0.75">
      <c r="B15" s="117" t="s">
        <v>127</v>
      </c>
      <c r="C15" s="166" t="s">
        <v>144</v>
      </c>
      <c r="D15" s="166"/>
      <c r="E15" s="166"/>
      <c r="F15" s="166"/>
      <c r="G15" s="166"/>
      <c r="H15" s="166"/>
      <c r="I15" s="167"/>
      <c r="J15" s="168"/>
      <c r="K15" s="13"/>
      <c r="L15" s="13"/>
      <c r="M15" s="198" t="s">
        <v>128</v>
      </c>
      <c r="N15" s="196" t="s">
        <v>178</v>
      </c>
      <c r="O15" s="196"/>
      <c r="P15" s="196"/>
      <c r="Q15" s="196"/>
      <c r="R15" s="196"/>
      <c r="S15" s="196"/>
      <c r="T15" s="196"/>
      <c r="U15" s="196"/>
      <c r="V15" s="196"/>
      <c r="W15" s="197"/>
      <c r="X15" s="13"/>
      <c r="Y15" s="13"/>
      <c r="Z15" s="13"/>
      <c r="AA15" s="13"/>
      <c r="AB15" s="13"/>
      <c r="AC15" s="13"/>
    </row>
    <row r="16" spans="2:29" ht="16.8" x14ac:dyDescent="0.75">
      <c r="B16" s="117" t="s">
        <v>128</v>
      </c>
      <c r="C16" s="166" t="s">
        <v>145</v>
      </c>
      <c r="D16" s="166"/>
      <c r="E16" s="166"/>
      <c r="F16" s="166"/>
      <c r="G16" s="166"/>
      <c r="H16" s="166"/>
      <c r="I16" s="167"/>
      <c r="J16" s="168"/>
      <c r="K16" s="13"/>
      <c r="L16" s="13"/>
      <c r="M16" s="198" t="s">
        <v>175</v>
      </c>
      <c r="N16" s="196" t="s">
        <v>179</v>
      </c>
      <c r="O16" s="196"/>
      <c r="P16" s="196"/>
      <c r="Q16" s="196"/>
      <c r="R16" s="196"/>
      <c r="S16" s="196"/>
      <c r="T16" s="196"/>
      <c r="U16" s="196"/>
      <c r="V16" s="196"/>
      <c r="W16" s="197"/>
      <c r="X16" s="13"/>
      <c r="Y16" s="13"/>
      <c r="Z16" s="13"/>
      <c r="AA16" s="13"/>
      <c r="AB16" s="13"/>
      <c r="AC16" s="13"/>
    </row>
    <row r="17" spans="2:29" ht="16.8" x14ac:dyDescent="0.75">
      <c r="B17" s="117" t="s">
        <v>129</v>
      </c>
      <c r="C17" s="166" t="s">
        <v>146</v>
      </c>
      <c r="D17" s="166"/>
      <c r="E17" s="166"/>
      <c r="F17" s="166"/>
      <c r="G17" s="166"/>
      <c r="H17" s="166"/>
      <c r="I17" s="167"/>
      <c r="J17" s="168"/>
      <c r="K17" s="13"/>
      <c r="L17" s="13"/>
      <c r="M17" s="198" t="s">
        <v>176</v>
      </c>
      <c r="N17" s="196" t="s">
        <v>180</v>
      </c>
      <c r="O17" s="196"/>
      <c r="P17" s="196"/>
      <c r="Q17" s="196"/>
      <c r="R17" s="196"/>
      <c r="S17" s="196"/>
      <c r="T17" s="196"/>
      <c r="U17" s="196"/>
      <c r="V17" s="196"/>
      <c r="W17" s="197"/>
      <c r="X17" s="13"/>
      <c r="Y17" s="13"/>
      <c r="Z17" s="13"/>
      <c r="AA17" s="13"/>
      <c r="AB17" s="13"/>
      <c r="AC17" s="13"/>
    </row>
    <row r="18" spans="2:29" ht="16.8" x14ac:dyDescent="0.75">
      <c r="B18" s="117" t="s">
        <v>130</v>
      </c>
      <c r="C18" s="166" t="s">
        <v>147</v>
      </c>
      <c r="D18" s="166"/>
      <c r="E18" s="166"/>
      <c r="F18" s="166"/>
      <c r="G18" s="166"/>
      <c r="H18" s="166"/>
      <c r="I18" s="167"/>
      <c r="J18" s="168"/>
      <c r="K18" s="13"/>
      <c r="L18" s="13"/>
      <c r="M18" s="59" t="s">
        <v>131</v>
      </c>
      <c r="N18" s="196" t="s">
        <v>181</v>
      </c>
      <c r="O18" s="199"/>
      <c r="P18" s="199"/>
      <c r="Q18" s="199"/>
      <c r="R18" s="199"/>
      <c r="S18" s="199"/>
      <c r="T18" s="199"/>
      <c r="U18" s="199"/>
      <c r="V18" s="199"/>
      <c r="W18" s="200"/>
      <c r="X18" s="13"/>
      <c r="Y18" s="13"/>
      <c r="Z18" s="13"/>
      <c r="AA18" s="13"/>
      <c r="AB18" s="13"/>
      <c r="AC18" s="13"/>
    </row>
    <row r="19" spans="2:29" ht="16.8" x14ac:dyDescent="0.75">
      <c r="B19" s="117" t="s">
        <v>131</v>
      </c>
      <c r="C19" s="166" t="s">
        <v>148</v>
      </c>
      <c r="D19" s="166"/>
      <c r="E19" s="166"/>
      <c r="F19" s="166"/>
      <c r="G19" s="166"/>
      <c r="H19" s="166"/>
      <c r="I19" s="167"/>
      <c r="J19" s="168"/>
      <c r="K19" s="13"/>
      <c r="L19" s="13"/>
      <c r="M19" s="198" t="s">
        <v>177</v>
      </c>
      <c r="N19" s="196" t="s">
        <v>182</v>
      </c>
      <c r="O19" s="196"/>
      <c r="P19" s="196"/>
      <c r="Q19" s="196"/>
      <c r="R19" s="196"/>
      <c r="S19" s="196"/>
      <c r="T19" s="196"/>
      <c r="U19" s="196"/>
      <c r="V19" s="196"/>
      <c r="W19" s="197"/>
      <c r="X19" s="13"/>
      <c r="Y19" s="13"/>
      <c r="Z19" s="13"/>
      <c r="AA19" s="13"/>
      <c r="AB19" s="13"/>
      <c r="AC19" s="13"/>
    </row>
    <row r="20" spans="2:29" ht="16.8" x14ac:dyDescent="0.75">
      <c r="B20" s="117" t="s">
        <v>132</v>
      </c>
      <c r="C20" s="166" t="s">
        <v>149</v>
      </c>
      <c r="D20" s="166"/>
      <c r="E20" s="166"/>
      <c r="F20" s="166"/>
      <c r="G20" s="166"/>
      <c r="H20" s="166"/>
      <c r="I20" s="167"/>
      <c r="J20" s="168"/>
      <c r="K20" s="13"/>
      <c r="L20" s="13"/>
      <c r="M20" s="59" t="s">
        <v>133</v>
      </c>
      <c r="N20" s="196" t="s">
        <v>183</v>
      </c>
      <c r="O20" s="199"/>
      <c r="P20" s="199"/>
      <c r="Q20" s="199"/>
      <c r="R20" s="199"/>
      <c r="S20" s="199"/>
      <c r="T20" s="199"/>
      <c r="U20" s="199"/>
      <c r="V20" s="199"/>
      <c r="W20" s="200"/>
      <c r="X20" s="13"/>
      <c r="Y20" s="13"/>
      <c r="Z20" s="13"/>
      <c r="AA20" s="13"/>
      <c r="AB20" s="13"/>
      <c r="AC20" s="13"/>
    </row>
    <row r="21" spans="2:29" ht="16.8" x14ac:dyDescent="0.75">
      <c r="B21" s="117" t="s">
        <v>133</v>
      </c>
      <c r="C21" s="166" t="s">
        <v>150</v>
      </c>
      <c r="D21" s="166"/>
      <c r="E21" s="166"/>
      <c r="F21" s="166"/>
      <c r="G21" s="166"/>
      <c r="H21" s="166"/>
      <c r="I21" s="167"/>
      <c r="J21" s="168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  <row r="22" spans="2:29" x14ac:dyDescent="0.55000000000000004"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2:29" x14ac:dyDescent="0.55000000000000004"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 spans="2:29" x14ac:dyDescent="0.55000000000000004"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 spans="2:29" x14ac:dyDescent="0.55000000000000004"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 spans="2:29" x14ac:dyDescent="0.55000000000000004"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2:29" x14ac:dyDescent="0.55000000000000004">
      <c r="K27" s="13"/>
      <c r="L27" s="13"/>
      <c r="M27" s="281"/>
      <c r="N27" s="281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2:29" x14ac:dyDescent="0.55000000000000004"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2:29" x14ac:dyDescent="0.55000000000000004"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2:29" x14ac:dyDescent="0.55000000000000004"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2:29" x14ac:dyDescent="0.55000000000000004"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2:29" x14ac:dyDescent="0.55000000000000004"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1:29" x14ac:dyDescent="0.55000000000000004"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</sheetData>
  <mergeCells count="3">
    <mergeCell ref="G3:G4"/>
    <mergeCell ref="G7:G9"/>
    <mergeCell ref="M27:N27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5D5F-C4DA-45B6-92DC-691E7F1B8D8D}">
  <dimension ref="C3:I6"/>
  <sheetViews>
    <sheetView zoomScale="85" zoomScaleNormal="85" workbookViewId="0">
      <selection activeCell="F5" sqref="F5:I5"/>
    </sheetView>
  </sheetViews>
  <sheetFormatPr defaultColWidth="9" defaultRowHeight="14.4" x14ac:dyDescent="0.55000000000000004"/>
  <cols>
    <col min="1" max="2" width="9" style="13"/>
    <col min="3" max="3" width="17" style="13" customWidth="1"/>
    <col min="4" max="4" width="21.26171875" style="13" customWidth="1"/>
    <col min="5" max="5" width="21.26171875" style="195" customWidth="1"/>
    <col min="6" max="8" width="9" style="13"/>
    <col min="9" max="9" width="52" style="13" customWidth="1"/>
    <col min="10" max="16384" width="9" style="13"/>
  </cols>
  <sheetData>
    <row r="3" spans="3:9" ht="32.4" x14ac:dyDescent="0.55000000000000004">
      <c r="C3" s="98" t="s">
        <v>37</v>
      </c>
      <c r="D3" s="98" t="s">
        <v>119</v>
      </c>
      <c r="E3" s="98" t="s">
        <v>185</v>
      </c>
      <c r="F3" s="282" t="s">
        <v>35</v>
      </c>
      <c r="G3" s="283"/>
      <c r="H3" s="283"/>
      <c r="I3" s="284"/>
    </row>
    <row r="4" spans="3:9" ht="140.65" customHeight="1" x14ac:dyDescent="0.55000000000000004">
      <c r="C4" s="98" t="s">
        <v>27</v>
      </c>
      <c r="D4" s="116">
        <v>220</v>
      </c>
      <c r="E4" s="201">
        <v>4695</v>
      </c>
      <c r="F4" s="285" t="s">
        <v>51</v>
      </c>
      <c r="G4" s="286"/>
      <c r="H4" s="286"/>
      <c r="I4" s="287"/>
    </row>
    <row r="5" spans="3:9" ht="133.9" customHeight="1" x14ac:dyDescent="0.55000000000000004">
      <c r="C5" s="98" t="s">
        <v>28</v>
      </c>
      <c r="D5" s="116">
        <v>143</v>
      </c>
      <c r="E5" s="201">
        <v>3665</v>
      </c>
      <c r="F5" s="285" t="s">
        <v>52</v>
      </c>
      <c r="G5" s="286"/>
      <c r="H5" s="286"/>
      <c r="I5" s="287"/>
    </row>
    <row r="6" spans="3:9" ht="91.9" customHeight="1" x14ac:dyDescent="0.55000000000000004">
      <c r="C6" s="98" t="s">
        <v>29</v>
      </c>
      <c r="D6" s="116">
        <v>36</v>
      </c>
      <c r="E6" s="201">
        <v>453</v>
      </c>
      <c r="F6" s="285" t="s">
        <v>53</v>
      </c>
      <c r="G6" s="286"/>
      <c r="H6" s="286"/>
      <c r="I6" s="287"/>
    </row>
  </sheetData>
  <mergeCells count="4">
    <mergeCell ref="F3:I3"/>
    <mergeCell ref="F4:I4"/>
    <mergeCell ref="F5:I5"/>
    <mergeCell ref="F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B9D7-0BEC-4D25-9E98-CDEB8DD0EDAE}">
  <dimension ref="B3:I8"/>
  <sheetViews>
    <sheetView zoomScaleNormal="100" workbookViewId="0">
      <selection activeCell="F23" sqref="F23"/>
    </sheetView>
  </sheetViews>
  <sheetFormatPr defaultColWidth="9" defaultRowHeight="14.4" x14ac:dyDescent="0.55000000000000004"/>
  <cols>
    <col min="1" max="1" width="9" style="1"/>
    <col min="2" max="2" width="32.578125" style="1" customWidth="1"/>
    <col min="3" max="3" width="18" style="1" customWidth="1"/>
    <col min="4" max="4" width="11.41796875" style="1" customWidth="1"/>
    <col min="5" max="5" width="11.15625" style="1" customWidth="1"/>
    <col min="6" max="16384" width="9" style="1"/>
  </cols>
  <sheetData>
    <row r="3" spans="2:9" ht="31.2" x14ac:dyDescent="0.55000000000000004">
      <c r="B3" s="97" t="s">
        <v>48</v>
      </c>
      <c r="C3" s="98" t="s">
        <v>73</v>
      </c>
    </row>
    <row r="4" spans="2:9" x14ac:dyDescent="0.55000000000000004">
      <c r="B4" s="117" t="s">
        <v>154</v>
      </c>
      <c r="C4" s="59">
        <v>330</v>
      </c>
    </row>
    <row r="5" spans="2:9" x14ac:dyDescent="0.55000000000000004">
      <c r="F5" s="13"/>
      <c r="G5" s="13"/>
      <c r="H5" s="13"/>
      <c r="I5" s="13"/>
    </row>
    <row r="6" spans="2:9" ht="31.2" x14ac:dyDescent="0.55000000000000004">
      <c r="B6" s="97" t="s">
        <v>49</v>
      </c>
      <c r="C6" s="98" t="s">
        <v>74</v>
      </c>
      <c r="F6" s="13"/>
      <c r="G6" s="13"/>
      <c r="H6" s="13"/>
      <c r="I6" s="13"/>
    </row>
    <row r="7" spans="2:9" x14ac:dyDescent="0.55000000000000004">
      <c r="B7" s="117" t="s">
        <v>154</v>
      </c>
      <c r="C7" s="59">
        <v>80</v>
      </c>
      <c r="F7" s="13"/>
      <c r="G7" s="13"/>
      <c r="H7" s="13"/>
      <c r="I7" s="13"/>
    </row>
    <row r="8" spans="2:9" x14ac:dyDescent="0.55000000000000004">
      <c r="F8" s="13"/>
      <c r="G8" s="13"/>
      <c r="H8" s="13"/>
      <c r="I8" s="13"/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M31"/>
  <sheetViews>
    <sheetView showGridLines="0" zoomScale="70" zoomScaleNormal="70" workbookViewId="0">
      <selection activeCell="K33" sqref="K33"/>
    </sheetView>
  </sheetViews>
  <sheetFormatPr defaultRowHeight="14.4" x14ac:dyDescent="0.55000000000000004"/>
  <cols>
    <col min="1" max="1" width="4.26171875" customWidth="1"/>
    <col min="2" max="2" width="3.83984375" customWidth="1"/>
    <col min="3" max="3" width="21.68359375" customWidth="1"/>
    <col min="4" max="4" width="20" customWidth="1"/>
    <col min="5" max="5" width="17.578125" customWidth="1"/>
    <col min="6" max="6" width="17.83984375" customWidth="1"/>
    <col min="7" max="7" width="9.26171875" customWidth="1"/>
    <col min="8" max="8" width="15.26171875" customWidth="1"/>
    <col min="9" max="9" width="9.68359375" bestFit="1" customWidth="1"/>
    <col min="10" max="10" width="22" customWidth="1"/>
    <col min="11" max="12" width="13.578125" customWidth="1"/>
    <col min="13" max="13" width="68.578125" customWidth="1"/>
    <col min="14" max="14" width="2.578125" customWidth="1"/>
    <col min="15" max="15" width="23" bestFit="1" customWidth="1"/>
  </cols>
  <sheetData>
    <row r="2" spans="2:13" x14ac:dyDescent="0.55000000000000004">
      <c r="C2" s="80" t="s">
        <v>36</v>
      </c>
      <c r="D2" s="80"/>
      <c r="E2" s="80"/>
      <c r="F2" s="80"/>
      <c r="G2" s="80"/>
    </row>
    <row r="3" spans="2:13" x14ac:dyDescent="0.55000000000000004">
      <c r="C3" s="81" t="s">
        <v>40</v>
      </c>
      <c r="D3" s="81"/>
      <c r="E3" s="81"/>
      <c r="F3" s="81"/>
      <c r="G3" s="81"/>
    </row>
    <row r="5" spans="2:13" ht="20.399999999999999" x14ac:dyDescent="0.8">
      <c r="C5" s="82" t="s">
        <v>80</v>
      </c>
      <c r="D5" s="79"/>
      <c r="E5" s="79"/>
      <c r="F5" s="79"/>
      <c r="G5" s="79"/>
      <c r="H5" s="79"/>
      <c r="I5" s="79"/>
      <c r="J5" s="79"/>
    </row>
    <row r="6" spans="2:13" ht="15.6" x14ac:dyDescent="0.6">
      <c r="C6" s="82"/>
      <c r="D6" s="79"/>
      <c r="E6" s="79"/>
      <c r="F6" s="79"/>
      <c r="G6" s="79"/>
    </row>
    <row r="7" spans="2:13" ht="15.6" x14ac:dyDescent="0.6">
      <c r="C7" s="82" t="s">
        <v>93</v>
      </c>
      <c r="D7" s="79"/>
      <c r="E7" s="79"/>
      <c r="F7" s="79"/>
      <c r="G7" s="79"/>
    </row>
    <row r="8" spans="2:13" ht="14.7" thickBot="1" x14ac:dyDescent="0.6"/>
    <row r="9" spans="2:13" ht="31.5" thickBot="1" x14ac:dyDescent="0.6">
      <c r="C9" s="138" t="s">
        <v>21</v>
      </c>
      <c r="D9" s="139" t="s">
        <v>20</v>
      </c>
      <c r="E9" s="139" t="s">
        <v>19</v>
      </c>
      <c r="F9" s="139" t="s">
        <v>120</v>
      </c>
      <c r="G9" s="139" t="s">
        <v>18</v>
      </c>
      <c r="H9" s="139" t="s">
        <v>122</v>
      </c>
      <c r="I9" s="139" t="s">
        <v>121</v>
      </c>
      <c r="J9" s="139" t="s">
        <v>123</v>
      </c>
      <c r="K9" s="140" t="s">
        <v>137</v>
      </c>
      <c r="L9" s="170" t="s">
        <v>138</v>
      </c>
      <c r="M9" s="141" t="s">
        <v>35</v>
      </c>
    </row>
    <row r="10" spans="2:13" ht="23.25" customHeight="1" x14ac:dyDescent="0.55000000000000004">
      <c r="C10" s="77" t="s">
        <v>79</v>
      </c>
      <c r="D10" s="25">
        <v>62500000</v>
      </c>
      <c r="E10" s="26">
        <v>8</v>
      </c>
      <c r="F10" s="92">
        <v>3E-11</v>
      </c>
      <c r="G10" s="27">
        <v>0.25</v>
      </c>
      <c r="H10" s="28">
        <v>1</v>
      </c>
      <c r="I10" s="159">
        <f>'Power Estimation'!$G$74</f>
        <v>3.3</v>
      </c>
      <c r="J10" s="160">
        <f>'Power Estimation'!$G$88</f>
        <v>1.8</v>
      </c>
      <c r="K10" s="93">
        <f t="shared" ref="K10:K19" si="0">(I10^2) * F10 * (D10) * (E10*G10) * H10 * 1000</f>
        <v>40.837499999999999</v>
      </c>
      <c r="L10" s="169">
        <f>(IF(D10&lt;=($D$29*1000000),$E$29,IF(AND(D10&gt;($C$30*1000000),D10&lt;=($D$30*1000000)),$E$30,$E$31)))*E10*J10</f>
        <v>11.520000000000001</v>
      </c>
      <c r="M10" s="122" t="s">
        <v>90</v>
      </c>
    </row>
    <row r="11" spans="2:13" ht="18.75" customHeight="1" x14ac:dyDescent="0.55000000000000004">
      <c r="C11" s="78" t="s">
        <v>81</v>
      </c>
      <c r="D11" s="29">
        <v>125000000</v>
      </c>
      <c r="E11" s="30">
        <v>1</v>
      </c>
      <c r="F11" s="29">
        <v>3E-11</v>
      </c>
      <c r="G11" s="31">
        <v>1</v>
      </c>
      <c r="H11" s="32">
        <v>1</v>
      </c>
      <c r="I11" s="32">
        <f>'Power Estimation'!$G$74</f>
        <v>3.3</v>
      </c>
      <c r="J11" s="161">
        <f>'Power Estimation'!$G$88</f>
        <v>1.8</v>
      </c>
      <c r="K11" s="33">
        <f t="shared" si="0"/>
        <v>40.837499999999999</v>
      </c>
      <c r="L11" s="169">
        <f t="shared" ref="L11:L19" si="1">(IF(D11&lt;=($D$29*1000000),$E$29,IF(AND(D11&gt;($C$30*1000000),D11&lt;=($D$30*1000000)),$E$30,$E$31)))*E11*J11</f>
        <v>1.9800000000000002</v>
      </c>
      <c r="M11" s="123" t="s">
        <v>116</v>
      </c>
    </row>
    <row r="12" spans="2:13" ht="27.75" customHeight="1" x14ac:dyDescent="0.55000000000000004">
      <c r="C12" s="78" t="s">
        <v>82</v>
      </c>
      <c r="D12" s="29">
        <v>31250000</v>
      </c>
      <c r="E12" s="30">
        <v>16</v>
      </c>
      <c r="F12" s="29">
        <v>3E-11</v>
      </c>
      <c r="G12" s="31">
        <v>0.25</v>
      </c>
      <c r="H12" s="32">
        <v>1</v>
      </c>
      <c r="I12" s="32">
        <f>'Power Estimation'!$G$74</f>
        <v>3.3</v>
      </c>
      <c r="J12" s="161">
        <f>'Power Estimation'!$G$88</f>
        <v>1.8</v>
      </c>
      <c r="K12" s="33">
        <f t="shared" si="0"/>
        <v>40.837499999999999</v>
      </c>
      <c r="L12" s="169">
        <f t="shared" si="1"/>
        <v>11.520000000000001</v>
      </c>
      <c r="M12" s="123" t="s">
        <v>94</v>
      </c>
    </row>
    <row r="13" spans="2:13" ht="17.649999999999999" customHeight="1" x14ac:dyDescent="0.55000000000000004">
      <c r="C13" s="78" t="s">
        <v>83</v>
      </c>
      <c r="D13" s="29">
        <v>62500000</v>
      </c>
      <c r="E13" s="30">
        <v>8</v>
      </c>
      <c r="F13" s="29">
        <v>3E-11</v>
      </c>
      <c r="G13" s="31">
        <v>1</v>
      </c>
      <c r="H13" s="32">
        <v>1</v>
      </c>
      <c r="I13" s="32">
        <f>'Power Estimation'!$G$74</f>
        <v>3.3</v>
      </c>
      <c r="J13" s="161">
        <f>'Power Estimation'!$G$88</f>
        <v>1.8</v>
      </c>
      <c r="K13" s="33">
        <f t="shared" si="0"/>
        <v>163.35</v>
      </c>
      <c r="L13" s="169">
        <f t="shared" si="1"/>
        <v>11.520000000000001</v>
      </c>
      <c r="M13" s="123" t="s">
        <v>117</v>
      </c>
    </row>
    <row r="14" spans="2:13" ht="18.75" customHeight="1" x14ac:dyDescent="0.55000000000000004">
      <c r="C14" s="78" t="s">
        <v>84</v>
      </c>
      <c r="D14" s="29">
        <v>31250000</v>
      </c>
      <c r="E14" s="30">
        <v>4</v>
      </c>
      <c r="F14" s="29">
        <v>3E-11</v>
      </c>
      <c r="G14" s="31">
        <v>0.25</v>
      </c>
      <c r="H14" s="32">
        <v>1</v>
      </c>
      <c r="I14" s="32">
        <f>'Power Estimation'!$G$74</f>
        <v>3.3</v>
      </c>
      <c r="J14" s="161">
        <f>'Power Estimation'!$G$88</f>
        <v>1.8</v>
      </c>
      <c r="K14" s="33">
        <f t="shared" si="0"/>
        <v>10.209375</v>
      </c>
      <c r="L14" s="169">
        <f t="shared" si="1"/>
        <v>2.8800000000000003</v>
      </c>
      <c r="M14" s="123" t="s">
        <v>91</v>
      </c>
    </row>
    <row r="15" spans="2:13" ht="18.399999999999999" customHeight="1" x14ac:dyDescent="0.55000000000000004">
      <c r="B15" s="19"/>
      <c r="C15" s="78" t="s">
        <v>85</v>
      </c>
      <c r="D15" s="29">
        <v>62500000</v>
      </c>
      <c r="E15" s="30">
        <v>1</v>
      </c>
      <c r="F15" s="29">
        <v>3E-11</v>
      </c>
      <c r="G15" s="31">
        <v>1</v>
      </c>
      <c r="H15" s="32">
        <v>1</v>
      </c>
      <c r="I15" s="32">
        <f>'Power Estimation'!$G$74</f>
        <v>3.3</v>
      </c>
      <c r="J15" s="161">
        <f>'Power Estimation'!$G$88</f>
        <v>1.8</v>
      </c>
      <c r="K15" s="33">
        <f t="shared" si="0"/>
        <v>20.418749999999999</v>
      </c>
      <c r="L15" s="169">
        <f t="shared" si="1"/>
        <v>1.4400000000000002</v>
      </c>
      <c r="M15" s="123" t="s">
        <v>117</v>
      </c>
    </row>
    <row r="16" spans="2:13" x14ac:dyDescent="0.55000000000000004">
      <c r="B16" s="19"/>
      <c r="C16" s="78" t="s">
        <v>86</v>
      </c>
      <c r="D16" s="29">
        <v>31250000</v>
      </c>
      <c r="E16" s="30">
        <v>4</v>
      </c>
      <c r="F16" s="29">
        <v>3E-11</v>
      </c>
      <c r="G16" s="31">
        <v>0.25</v>
      </c>
      <c r="H16" s="32">
        <v>1</v>
      </c>
      <c r="I16" s="32">
        <f>'Power Estimation'!$G$74</f>
        <v>3.3</v>
      </c>
      <c r="J16" s="161">
        <f>'Power Estimation'!$G$88</f>
        <v>1.8</v>
      </c>
      <c r="K16" s="33">
        <f t="shared" si="0"/>
        <v>10.209375</v>
      </c>
      <c r="L16" s="169">
        <f t="shared" si="1"/>
        <v>2.8800000000000003</v>
      </c>
      <c r="M16" s="123" t="s">
        <v>91</v>
      </c>
    </row>
    <row r="17" spans="2:13" x14ac:dyDescent="0.55000000000000004">
      <c r="B17" s="19"/>
      <c r="C17" s="78" t="s">
        <v>87</v>
      </c>
      <c r="D17" s="29">
        <v>62500000</v>
      </c>
      <c r="E17" s="30">
        <v>1</v>
      </c>
      <c r="F17" s="29">
        <v>3E-11</v>
      </c>
      <c r="G17" s="31">
        <v>1</v>
      </c>
      <c r="H17" s="32">
        <v>1</v>
      </c>
      <c r="I17" s="32">
        <f>'Power Estimation'!$G$74</f>
        <v>3.3</v>
      </c>
      <c r="J17" s="161">
        <f>'Power Estimation'!$G$88</f>
        <v>1.8</v>
      </c>
      <c r="K17" s="33">
        <f t="shared" si="0"/>
        <v>20.418749999999999</v>
      </c>
      <c r="L17" s="169">
        <f t="shared" si="1"/>
        <v>1.4400000000000002</v>
      </c>
      <c r="M17" s="123" t="s">
        <v>117</v>
      </c>
    </row>
    <row r="18" spans="2:13" x14ac:dyDescent="0.55000000000000004">
      <c r="C18" s="78" t="s">
        <v>88</v>
      </c>
      <c r="D18" s="29">
        <v>31250000</v>
      </c>
      <c r="E18" s="30">
        <v>2</v>
      </c>
      <c r="F18" s="29">
        <v>3E-11</v>
      </c>
      <c r="G18" s="31">
        <v>0.25</v>
      </c>
      <c r="H18" s="32">
        <v>1</v>
      </c>
      <c r="I18" s="32">
        <f>'Power Estimation'!$G$74</f>
        <v>3.3</v>
      </c>
      <c r="J18" s="161">
        <f>'Power Estimation'!$G$88</f>
        <v>1.8</v>
      </c>
      <c r="K18" s="33">
        <f t="shared" si="0"/>
        <v>5.1046874999999998</v>
      </c>
      <c r="L18" s="169">
        <f t="shared" si="1"/>
        <v>1.4400000000000002</v>
      </c>
      <c r="M18" s="123" t="s">
        <v>92</v>
      </c>
    </row>
    <row r="19" spans="2:13" x14ac:dyDescent="0.55000000000000004">
      <c r="C19" s="78" t="s">
        <v>89</v>
      </c>
      <c r="D19" s="29">
        <v>62500000</v>
      </c>
      <c r="E19" s="30">
        <v>1</v>
      </c>
      <c r="F19" s="29">
        <v>3E-11</v>
      </c>
      <c r="G19" s="31">
        <v>1</v>
      </c>
      <c r="H19" s="32">
        <v>1</v>
      </c>
      <c r="I19" s="32">
        <f>'Power Estimation'!$G$74</f>
        <v>3.3</v>
      </c>
      <c r="J19" s="161">
        <f>'Power Estimation'!$G$88</f>
        <v>1.8</v>
      </c>
      <c r="K19" s="33">
        <f t="shared" si="0"/>
        <v>20.418749999999999</v>
      </c>
      <c r="L19" s="169">
        <f t="shared" si="1"/>
        <v>1.4400000000000002</v>
      </c>
      <c r="M19" s="123" t="s">
        <v>117</v>
      </c>
    </row>
    <row r="20" spans="2:13" x14ac:dyDescent="0.55000000000000004">
      <c r="C20" s="78"/>
      <c r="D20" s="29"/>
      <c r="E20" s="30"/>
      <c r="F20" s="29"/>
      <c r="G20" s="31"/>
      <c r="H20" s="32"/>
      <c r="I20" s="32"/>
      <c r="J20" s="161"/>
      <c r="K20" s="33"/>
      <c r="L20" s="94"/>
      <c r="M20" s="108"/>
    </row>
    <row r="21" spans="2:13" ht="23.65" customHeight="1" x14ac:dyDescent="0.55000000000000004">
      <c r="C21" s="86"/>
      <c r="D21" s="87"/>
      <c r="E21" s="87"/>
      <c r="F21" s="87"/>
      <c r="G21" s="87"/>
      <c r="H21" s="87"/>
      <c r="I21" s="87"/>
      <c r="J21" s="87"/>
      <c r="K21" s="90"/>
      <c r="L21" s="94"/>
      <c r="M21" s="83"/>
    </row>
    <row r="22" spans="2:13" ht="19.899999999999999" customHeight="1" thickBot="1" x14ac:dyDescent="0.6">
      <c r="C22" s="88"/>
      <c r="D22" s="89"/>
      <c r="E22" s="89"/>
      <c r="F22" s="89"/>
      <c r="G22" s="89"/>
      <c r="H22" s="89"/>
      <c r="I22" s="89"/>
      <c r="J22" s="89"/>
      <c r="K22" s="91"/>
      <c r="L22" s="96"/>
      <c r="M22" s="84"/>
    </row>
    <row r="23" spans="2:13" ht="18.399999999999999" customHeight="1" thickBot="1" x14ac:dyDescent="0.6"/>
    <row r="24" spans="2:13" ht="18.75" customHeight="1" thickBot="1" x14ac:dyDescent="0.8">
      <c r="G24" s="8" t="s">
        <v>100</v>
      </c>
      <c r="K24" s="85">
        <f>SUM(K10:K22)</f>
        <v>372.64218749999998</v>
      </c>
    </row>
    <row r="25" spans="2:13" ht="20.25" customHeight="1" thickBot="1" x14ac:dyDescent="0.8">
      <c r="C25" s="9"/>
      <c r="D25" s="9"/>
      <c r="E25" s="9"/>
      <c r="G25" s="8" t="s">
        <v>101</v>
      </c>
      <c r="K25" s="95">
        <f>SUM(L10:L22) + ('Power Estimation'!G88*(5+18))</f>
        <v>89.460000000000008</v>
      </c>
      <c r="L25" s="8"/>
    </row>
    <row r="26" spans="2:13" ht="15.6" x14ac:dyDescent="0.6">
      <c r="C26" s="82"/>
      <c r="D26" s="82"/>
      <c r="E26" s="82"/>
      <c r="F26" s="82"/>
      <c r="G26" s="82"/>
      <c r="H26" s="82"/>
      <c r="I26" s="82"/>
      <c r="J26" s="82"/>
    </row>
    <row r="27" spans="2:13" ht="24.75" customHeight="1" x14ac:dyDescent="0.75">
      <c r="C27" s="8" t="s">
        <v>99</v>
      </c>
      <c r="D27" s="8"/>
      <c r="F27" s="82"/>
      <c r="G27" s="82"/>
      <c r="H27" s="82"/>
      <c r="I27" s="82"/>
      <c r="J27" s="82"/>
    </row>
    <row r="28" spans="2:13" ht="45" customHeight="1" x14ac:dyDescent="0.6">
      <c r="C28" s="171" t="s">
        <v>139</v>
      </c>
      <c r="D28" s="171" t="s">
        <v>140</v>
      </c>
      <c r="E28" s="76" t="s">
        <v>78</v>
      </c>
      <c r="F28" s="82"/>
      <c r="G28" s="82"/>
    </row>
    <row r="29" spans="2:13" ht="15.6" x14ac:dyDescent="0.6">
      <c r="C29" s="75">
        <v>0</v>
      </c>
      <c r="D29" s="75">
        <v>32</v>
      </c>
      <c r="E29" s="75">
        <v>0.4</v>
      </c>
      <c r="F29" s="82"/>
      <c r="G29" s="82"/>
    </row>
    <row r="30" spans="2:13" ht="19.899999999999999" customHeight="1" x14ac:dyDescent="0.6">
      <c r="C30" s="75">
        <v>32</v>
      </c>
      <c r="D30" s="75">
        <v>63</v>
      </c>
      <c r="E30" s="75">
        <v>0.8</v>
      </c>
      <c r="F30" s="82"/>
      <c r="G30" s="82"/>
    </row>
    <row r="31" spans="2:13" ht="15.6" x14ac:dyDescent="0.6">
      <c r="C31" s="75">
        <v>63</v>
      </c>
      <c r="D31" s="75">
        <v>125</v>
      </c>
      <c r="E31" s="75">
        <v>1.1000000000000001</v>
      </c>
      <c r="F31" s="82"/>
      <c r="G31" s="82"/>
    </row>
  </sheetData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F2AEE-252E-45E8-B235-656E91E8C3EA}">
  <dimension ref="C2:L32"/>
  <sheetViews>
    <sheetView zoomScale="70" zoomScaleNormal="70" workbookViewId="0">
      <selection activeCell="L30" sqref="L30"/>
    </sheetView>
  </sheetViews>
  <sheetFormatPr defaultColWidth="9" defaultRowHeight="14.4" x14ac:dyDescent="0.55000000000000004"/>
  <cols>
    <col min="1" max="1" width="4.15625" style="1" customWidth="1"/>
    <col min="2" max="2" width="4.41796875" style="1" customWidth="1"/>
    <col min="3" max="3" width="11.15625" style="1" customWidth="1"/>
    <col min="4" max="4" width="11.41796875" style="1" customWidth="1"/>
    <col min="5" max="5" width="23.68359375" style="1" customWidth="1"/>
    <col min="6" max="6" width="17.41796875" style="1" customWidth="1"/>
    <col min="7" max="7" width="17.83984375" style="1" customWidth="1"/>
    <col min="8" max="8" width="10.41796875" style="1" customWidth="1"/>
    <col min="9" max="9" width="13.68359375" style="1" customWidth="1"/>
    <col min="10" max="10" width="12.15625" style="1" customWidth="1"/>
    <col min="11" max="11" width="10.83984375" style="1" customWidth="1"/>
    <col min="12" max="12" width="75.83984375" style="1" customWidth="1"/>
    <col min="13" max="16384" width="9" style="1"/>
  </cols>
  <sheetData>
    <row r="2" spans="3:12" x14ac:dyDescent="0.55000000000000004">
      <c r="C2" s="290" t="s">
        <v>36</v>
      </c>
      <c r="D2" s="290"/>
      <c r="E2" s="290"/>
      <c r="F2" s="290"/>
      <c r="G2" s="290"/>
      <c r="H2" s="290"/>
    </row>
    <row r="3" spans="3:12" x14ac:dyDescent="0.55000000000000004">
      <c r="C3" s="293" t="s">
        <v>40</v>
      </c>
      <c r="D3" s="293"/>
      <c r="E3" s="293"/>
      <c r="F3" s="293"/>
      <c r="G3" s="293"/>
      <c r="H3" s="293"/>
    </row>
    <row r="5" spans="3:12" ht="20.399999999999999" x14ac:dyDescent="0.8">
      <c r="C5" s="291" t="s">
        <v>95</v>
      </c>
      <c r="D5" s="292"/>
      <c r="E5" s="292"/>
      <c r="F5" s="292"/>
      <c r="G5" s="292"/>
      <c r="H5" s="292"/>
    </row>
    <row r="6" spans="3:12" ht="15.6" x14ac:dyDescent="0.6">
      <c r="C6" s="148"/>
      <c r="D6" s="149"/>
      <c r="E6" s="149"/>
      <c r="F6" s="149"/>
      <c r="G6" s="149"/>
      <c r="H6" s="149"/>
    </row>
    <row r="7" spans="3:12" ht="15.6" x14ac:dyDescent="0.6">
      <c r="C7" s="148" t="s">
        <v>41</v>
      </c>
      <c r="D7" s="149"/>
      <c r="E7" s="149"/>
      <c r="F7" s="149"/>
      <c r="G7" s="149"/>
      <c r="H7" s="149"/>
    </row>
    <row r="8" spans="3:12" ht="20.7" thickBot="1" x14ac:dyDescent="0.8"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3:12" ht="32.4" x14ac:dyDescent="0.75">
      <c r="C9" s="294" t="s">
        <v>21</v>
      </c>
      <c r="D9" s="295"/>
      <c r="E9" s="151" t="s">
        <v>20</v>
      </c>
      <c r="F9" s="152" t="s">
        <v>19</v>
      </c>
      <c r="G9" s="152" t="s">
        <v>120</v>
      </c>
      <c r="H9" s="152" t="s">
        <v>18</v>
      </c>
      <c r="I9" s="152" t="s">
        <v>122</v>
      </c>
      <c r="J9" s="152" t="s">
        <v>126</v>
      </c>
      <c r="K9" s="153" t="s">
        <v>125</v>
      </c>
      <c r="L9" s="154" t="s">
        <v>54</v>
      </c>
    </row>
    <row r="10" spans="3:12" ht="28.8" x14ac:dyDescent="0.55000000000000004">
      <c r="C10" s="296" t="s">
        <v>55</v>
      </c>
      <c r="D10" s="142" t="s">
        <v>25</v>
      </c>
      <c r="E10" s="146">
        <f>900000000/2</f>
        <v>450000000</v>
      </c>
      <c r="F10" s="124">
        <v>16</v>
      </c>
      <c r="G10" s="125">
        <v>4.9999999999999997E-12</v>
      </c>
      <c r="H10" s="124">
        <v>0.25</v>
      </c>
      <c r="I10" s="126">
        <v>1</v>
      </c>
      <c r="J10" s="162">
        <v>1.39</v>
      </c>
      <c r="K10" s="127">
        <f>(J10^2) * G10 * (E10) * (F10*H10) * I10 * 1000</f>
        <v>17.388899999999996</v>
      </c>
      <c r="L10" s="155" t="s">
        <v>96</v>
      </c>
    </row>
    <row r="11" spans="3:12" ht="28.8" x14ac:dyDescent="0.55000000000000004">
      <c r="C11" s="297"/>
      <c r="D11" s="143" t="s">
        <v>24</v>
      </c>
      <c r="E11" s="146">
        <v>900000000</v>
      </c>
      <c r="F11" s="128">
        <v>16</v>
      </c>
      <c r="G11" s="129">
        <v>4.9999999999999997E-12</v>
      </c>
      <c r="H11" s="128">
        <v>1</v>
      </c>
      <c r="I11" s="130">
        <v>1</v>
      </c>
      <c r="J11" s="162">
        <v>1.39</v>
      </c>
      <c r="K11" s="131">
        <f>(J11^2) * G11 * (E11) * (F11*H11) * I11 * 1000</f>
        <v>139.11119999999997</v>
      </c>
      <c r="L11" s="156" t="s">
        <v>56</v>
      </c>
    </row>
    <row r="12" spans="3:12" ht="48" customHeight="1" x14ac:dyDescent="0.55000000000000004">
      <c r="C12" s="297"/>
      <c r="D12" s="144" t="s">
        <v>23</v>
      </c>
      <c r="E12" s="146">
        <f>900000000/2</f>
        <v>450000000</v>
      </c>
      <c r="F12" s="132">
        <v>15</v>
      </c>
      <c r="G12" s="129">
        <v>4.9999999999999997E-12</v>
      </c>
      <c r="H12" s="128">
        <v>0.25</v>
      </c>
      <c r="I12" s="130">
        <v>1</v>
      </c>
      <c r="J12" s="162">
        <v>1.39</v>
      </c>
      <c r="K12" s="131">
        <f>(J12^2) * G12 * (E12) * (F12*H12) * I12 * 1000</f>
        <v>16.302093749999997</v>
      </c>
      <c r="L12" s="156" t="s">
        <v>97</v>
      </c>
    </row>
    <row r="13" spans="3:12" ht="31.9" customHeight="1" thickBot="1" x14ac:dyDescent="0.6">
      <c r="C13" s="298"/>
      <c r="D13" s="145" t="s">
        <v>22</v>
      </c>
      <c r="E13" s="145">
        <v>900000000</v>
      </c>
      <c r="F13" s="133">
        <v>2</v>
      </c>
      <c r="G13" s="134">
        <v>4.9999999999999997E-12</v>
      </c>
      <c r="H13" s="135">
        <v>1</v>
      </c>
      <c r="I13" s="136">
        <v>1</v>
      </c>
      <c r="J13" s="163">
        <v>1.39</v>
      </c>
      <c r="K13" s="137">
        <f>(J13^2) * G13 * (E13) * (F13*H13) * I13 * 1000</f>
        <v>17.388899999999996</v>
      </c>
      <c r="L13" s="157" t="s">
        <v>57</v>
      </c>
    </row>
    <row r="14" spans="3:12" ht="20.7" thickBot="1" x14ac:dyDescent="0.8">
      <c r="C14" s="150"/>
      <c r="D14" s="150"/>
      <c r="E14" s="150"/>
      <c r="F14" s="150"/>
      <c r="G14" s="150"/>
      <c r="H14" s="150"/>
      <c r="I14" s="150"/>
      <c r="J14" s="150"/>
      <c r="L14" s="150"/>
    </row>
    <row r="15" spans="3:12" ht="16.899999999999999" customHeight="1" thickBot="1" x14ac:dyDescent="0.8">
      <c r="C15" s="288" t="s">
        <v>124</v>
      </c>
      <c r="D15" s="288"/>
      <c r="E15" s="288"/>
      <c r="F15" s="288"/>
      <c r="G15" s="288"/>
      <c r="H15" s="288"/>
      <c r="I15" s="288"/>
      <c r="J15" s="289"/>
      <c r="K15" s="147">
        <f>SUM(K10:K13)</f>
        <v>190.19109374999996</v>
      </c>
      <c r="L15" s="150"/>
    </row>
    <row r="20" spans="4:11" x14ac:dyDescent="0.55000000000000004">
      <c r="G20" s="158"/>
    </row>
    <row r="21" spans="4:11" x14ac:dyDescent="0.55000000000000004">
      <c r="D21" s="13"/>
      <c r="E21" s="13"/>
      <c r="F21" s="13"/>
      <c r="G21" s="13"/>
      <c r="H21" s="13"/>
      <c r="I21" s="13"/>
      <c r="J21" s="13"/>
      <c r="K21" s="13"/>
    </row>
    <row r="22" spans="4:11" x14ac:dyDescent="0.55000000000000004">
      <c r="D22" s="13"/>
      <c r="E22" s="13"/>
      <c r="F22" s="13"/>
      <c r="G22" s="13"/>
      <c r="H22" s="13"/>
      <c r="I22" s="13"/>
      <c r="J22" s="13"/>
      <c r="K22" s="13"/>
    </row>
    <row r="23" spans="4:11" x14ac:dyDescent="0.55000000000000004">
      <c r="D23" s="13"/>
      <c r="E23" s="13"/>
      <c r="F23" s="13"/>
      <c r="G23" s="13"/>
      <c r="H23" s="13"/>
      <c r="I23" s="13"/>
      <c r="J23" s="13"/>
      <c r="K23" s="13"/>
    </row>
    <row r="24" spans="4:11" x14ac:dyDescent="0.55000000000000004">
      <c r="D24" s="13"/>
      <c r="E24" s="13"/>
      <c r="F24" s="13"/>
      <c r="G24" s="13"/>
      <c r="H24" s="13"/>
      <c r="I24" s="13"/>
      <c r="J24" s="13"/>
      <c r="K24" s="13"/>
    </row>
    <row r="25" spans="4:11" x14ac:dyDescent="0.55000000000000004">
      <c r="D25" s="13"/>
      <c r="E25" s="13"/>
      <c r="F25" s="13"/>
      <c r="G25" s="13"/>
      <c r="H25" s="13"/>
      <c r="I25" s="13"/>
      <c r="J25" s="13"/>
      <c r="K25" s="13"/>
    </row>
    <row r="26" spans="4:11" x14ac:dyDescent="0.55000000000000004">
      <c r="D26" s="13"/>
      <c r="E26" s="13"/>
      <c r="F26" s="13"/>
      <c r="G26" s="13"/>
      <c r="H26" s="13"/>
      <c r="I26" s="13"/>
      <c r="J26" s="13"/>
      <c r="K26" s="13"/>
    </row>
    <row r="27" spans="4:11" x14ac:dyDescent="0.55000000000000004">
      <c r="D27" s="13"/>
      <c r="E27" s="13"/>
      <c r="F27" s="13"/>
      <c r="G27" s="13"/>
      <c r="H27" s="13"/>
      <c r="I27" s="13"/>
      <c r="J27" s="13"/>
      <c r="K27" s="13"/>
    </row>
    <row r="28" spans="4:11" x14ac:dyDescent="0.55000000000000004">
      <c r="D28" s="13"/>
      <c r="E28" s="13"/>
      <c r="F28" s="13"/>
      <c r="G28" s="13"/>
      <c r="H28" s="13"/>
      <c r="I28" s="13"/>
      <c r="J28" s="13"/>
      <c r="K28" s="13"/>
    </row>
    <row r="29" spans="4:11" x14ac:dyDescent="0.55000000000000004">
      <c r="D29" s="13"/>
      <c r="E29" s="13"/>
      <c r="F29" s="13"/>
      <c r="G29" s="13"/>
      <c r="H29" s="13"/>
      <c r="I29" s="13"/>
      <c r="J29" s="13"/>
      <c r="K29" s="13"/>
    </row>
    <row r="30" spans="4:11" x14ac:dyDescent="0.55000000000000004">
      <c r="D30" s="13"/>
      <c r="E30" s="13"/>
      <c r="F30" s="13"/>
      <c r="G30" s="13"/>
      <c r="H30" s="13"/>
      <c r="I30" s="13"/>
      <c r="J30" s="13"/>
      <c r="K30" s="13"/>
    </row>
    <row r="31" spans="4:11" x14ac:dyDescent="0.55000000000000004">
      <c r="D31" s="13"/>
      <c r="E31" s="13"/>
      <c r="F31" s="13"/>
      <c r="G31" s="13"/>
      <c r="H31" s="13"/>
      <c r="I31" s="13"/>
      <c r="J31" s="13"/>
      <c r="K31" s="13"/>
    </row>
    <row r="32" spans="4:11" x14ac:dyDescent="0.55000000000000004">
      <c r="D32" s="13"/>
      <c r="E32" s="13"/>
      <c r="F32" s="13"/>
      <c r="G32" s="13"/>
      <c r="H32" s="13"/>
      <c r="I32" s="13"/>
      <c r="J32" s="13"/>
      <c r="K32" s="13"/>
    </row>
  </sheetData>
  <mergeCells count="6">
    <mergeCell ref="C15:J15"/>
    <mergeCell ref="C2:H2"/>
    <mergeCell ref="C5:H5"/>
    <mergeCell ref="C3:H3"/>
    <mergeCell ref="C9:D9"/>
    <mergeCell ref="C10:C13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D214482E22774F890D1B21B784B980" ma:contentTypeVersion="13" ma:contentTypeDescription="Create a new document." ma:contentTypeScope="" ma:versionID="61d36c4e5d6ba22700325b66a5a51795">
  <xsd:schema xmlns:xsd="http://www.w3.org/2001/XMLSchema" xmlns:xs="http://www.w3.org/2001/XMLSchema" xmlns:p="http://schemas.microsoft.com/office/2006/metadata/properties" xmlns:ns3="51e50c0b-373f-4090-a3c8-9d3b952bc563" xmlns:ns4="4ba38cea-9e26-4a87-8876-603bd54d6a99" targetNamespace="http://schemas.microsoft.com/office/2006/metadata/properties" ma:root="true" ma:fieldsID="370c88bf20394f121d9e4d1dfe11b411" ns3:_="" ns4:_="">
    <xsd:import namespace="51e50c0b-373f-4090-a3c8-9d3b952bc563"/>
    <xsd:import namespace="4ba38cea-9e26-4a87-8876-603bd54d6a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50c0b-373f-4090-a3c8-9d3b952bc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a38cea-9e26-4a87-8876-603bd54d6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E2F5CE-0F52-4CAB-A60E-94B090AB5362}">
  <ds:schemaRefs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4ba38cea-9e26-4a87-8876-603bd54d6a99"/>
    <ds:schemaRef ds:uri="http://schemas.microsoft.com/office/2006/documentManagement/types"/>
    <ds:schemaRef ds:uri="51e50c0b-373f-4090-a3c8-9d3b952bc563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4DC8A66-423B-4C40-A4FA-4D3DBFB85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e50c0b-373f-4090-a3c8-9d3b952bc563"/>
    <ds:schemaRef ds:uri="4ba38cea-9e26-4a87-8876-603bd54d6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985F53-34FF-4072-9F79-7E86EE41F4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Power Estimation</vt:lpstr>
      <vt:lpstr>VDD_INT Static Current</vt:lpstr>
      <vt:lpstr>VDD_INT CORE ASF</vt:lpstr>
      <vt:lpstr>VDD_INT DMA Usage</vt:lpstr>
      <vt:lpstr>VDD_INT Accelerators</vt:lpstr>
      <vt:lpstr>VDD_EXT &amp; VDD_REF Power</vt:lpstr>
      <vt:lpstr>VDD_DMC Power</vt:lpstr>
      <vt:lpstr>FFT</vt:lpstr>
    </vt:vector>
  </TitlesOfParts>
  <Company>Analog Devices,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Deepak.Huchaiah@analog.com</dc:creator>
  <cp:lastModifiedBy>Huchaiah, Deepak</cp:lastModifiedBy>
  <dcterms:created xsi:type="dcterms:W3CDTF">2015-03-16T11:38:51Z</dcterms:created>
  <dcterms:modified xsi:type="dcterms:W3CDTF">2023-03-15T13:28:05Z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0x010100C8D214482E22774F890D1B21B784B980</vt:lpwstr>
  </property>
</Properties>
</file>