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nalog-my.sharepoint.com/personal/pinkesh_sachdev_analog_com/Documents/PSMTG/articles/"/>
    </mc:Choice>
  </mc:AlternateContent>
  <xr:revisionPtr revIDLastSave="1285" documentId="8_{5E616A0C-9D5F-4674-8A68-F187CFE093F6}" xr6:coauthVersionLast="45" xr6:coauthVersionMax="45" xr10:uidLastSave="{06A6AB00-E862-4B2F-A17D-085F1C683162}"/>
  <bookViews>
    <workbookView xWindow="-110" yWindow="-110" windowWidth="19420" windowHeight="10560" tabRatio="666" xr2:uid="{F350DE28-795E-4619-986D-E9B9739EE864}"/>
  </bookViews>
  <sheets>
    <sheet name="Preface" sheetId="8" r:id="rId1"/>
    <sheet name="1-2RDiv" sheetId="1" r:id="rId2"/>
    <sheet name="2-3RDiv" sheetId="2" r:id="rId3"/>
    <sheet name="3-HystOutRes" sheetId="4" r:id="rId4"/>
    <sheet name="4a-HystShuntRes" sheetId="5" r:id="rId5"/>
    <sheet name="4a-HystCurr" sheetId="7" r:id="rId6"/>
    <sheet name="4b-SeriesHystRes" sheetId="6" r:id="rId7"/>
  </sheets>
  <definedNames>
    <definedName name="IHYS" localSheetId="5">'4a-HystCurr'!$B$7</definedName>
    <definedName name="ILK" localSheetId="1">'1-2RDiv'!$B$8</definedName>
    <definedName name="ILK" localSheetId="2">'2-3RDiv'!$B$9</definedName>
    <definedName name="ILK" localSheetId="3">'3-HystOutRes'!$B$9</definedName>
    <definedName name="ILK" localSheetId="5">'4a-HystCurr'!$B$9</definedName>
    <definedName name="ILK" localSheetId="4">'4a-HystShuntRes'!$B$9</definedName>
    <definedName name="ILK" localSheetId="6">'4b-SeriesHystRes'!$B$9</definedName>
    <definedName name="RB" localSheetId="1">'1-2RDiv'!$B$6</definedName>
    <definedName name="RB" localSheetId="2">'2-3RDiv'!$B$7</definedName>
    <definedName name="RB" localSheetId="3">'3-HystOutRes'!$B$6</definedName>
    <definedName name="RB" localSheetId="5">'4a-HystCurr'!$B$6</definedName>
    <definedName name="RB" localSheetId="4">'4a-HystShuntRes'!$B$6</definedName>
    <definedName name="RB" localSheetId="6">'4b-SeriesHystRes'!$B$6</definedName>
    <definedName name="RH" localSheetId="3">'3-HystOutRes'!$B$7</definedName>
    <definedName name="RH" localSheetId="4">'4a-HystShuntRes'!$B$7</definedName>
    <definedName name="RH" localSheetId="6">'4b-SeriesHystRes'!$B$7</definedName>
    <definedName name="RM" localSheetId="2">'2-3RDiv'!$B$6</definedName>
    <definedName name="RT" localSheetId="1">'1-2RDiv'!$B$5</definedName>
    <definedName name="RT" localSheetId="2">'2-3RDiv'!$B$5</definedName>
    <definedName name="RT" localSheetId="3">'3-HystOutRes'!$B$5</definedName>
    <definedName name="RT" localSheetId="5">'4a-HystCurr'!$B$5</definedName>
    <definedName name="RT" localSheetId="4">'4a-HystShuntRes'!$B$5</definedName>
    <definedName name="RT" localSheetId="6">'4b-SeriesHystRes'!$B$5</definedName>
    <definedName name="TOL_IH" localSheetId="5">'4a-HystCurr'!$D$7</definedName>
    <definedName name="TOL_RB" localSheetId="1">'1-2RDiv'!$D$6</definedName>
    <definedName name="TOL_RB" localSheetId="2">'2-3RDiv'!$D$7</definedName>
    <definedName name="TOL_RB" localSheetId="3">'3-HystOutRes'!$D$6</definedName>
    <definedName name="TOL_RB" localSheetId="5">'4a-HystCurr'!$D$6</definedName>
    <definedName name="TOL_RB" localSheetId="4">'4a-HystShuntRes'!$D$6</definedName>
    <definedName name="TOL_RB" localSheetId="6">'4b-SeriesHystRes'!$D$6</definedName>
    <definedName name="TOL_RH" localSheetId="3">'3-HystOutRes'!$D$7</definedName>
    <definedName name="TOL_RH" localSheetId="4">'4a-HystShuntRes'!$D$7</definedName>
    <definedName name="TOL_RH" localSheetId="6">'4b-SeriesHystRes'!$D$7</definedName>
    <definedName name="TOL_RM">'2-3RDiv'!$D$6</definedName>
    <definedName name="TOL_RT" localSheetId="1">'1-2RDiv'!$D$5</definedName>
    <definedName name="TOL_RT" localSheetId="2">'2-3RDiv'!$D$5</definedName>
    <definedName name="TOL_RT" localSheetId="3">'3-HystOutRes'!$D$5</definedName>
    <definedName name="TOL_RT" localSheetId="5">'4a-HystCurr'!$D$5</definedName>
    <definedName name="TOL_RT" localSheetId="4">'4a-HystShuntRes'!$D$5</definedName>
    <definedName name="TOL_RT" localSheetId="6">'4b-SeriesHystRes'!$D$5</definedName>
    <definedName name="TOL_VT" localSheetId="1">'1-2RDiv'!$D$7</definedName>
    <definedName name="TOL_VT" localSheetId="2">'2-3RDiv'!$D$8</definedName>
    <definedName name="TOL_VT" localSheetId="3">'3-HystOutRes'!$D$8</definedName>
    <definedName name="TOL_VT" localSheetId="5">'4a-HystCurr'!$D$8</definedName>
    <definedName name="TOL_VT" localSheetId="4">'4a-HystShuntRes'!$D$8</definedName>
    <definedName name="TOL_VT" localSheetId="6">'4b-SeriesHystRes'!$D$8</definedName>
    <definedName name="VT" localSheetId="1">'1-2RDiv'!$B$7</definedName>
    <definedName name="VT" localSheetId="2">'2-3RDiv'!$B$8</definedName>
    <definedName name="VT" localSheetId="3">'3-HystOutRes'!$B$8</definedName>
    <definedName name="VT" localSheetId="5">'4a-HystCurr'!$B$8</definedName>
    <definedName name="VT" localSheetId="4">'4a-HystShuntRes'!$B$8</definedName>
    <definedName name="VT" localSheetId="6">'4b-SeriesHystRes'!$B$8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2" i="2" l="1"/>
  <c r="B12" i="2"/>
  <c r="D21" i="7" l="1"/>
  <c r="B21" i="7"/>
  <c r="C21" i="7"/>
  <c r="B20" i="7"/>
  <c r="D20" i="7"/>
  <c r="D19" i="7"/>
  <c r="B19" i="7"/>
  <c r="C19" i="7"/>
  <c r="B16" i="7"/>
  <c r="D12" i="7"/>
  <c r="D16" i="7" s="1"/>
  <c r="B12" i="7"/>
  <c r="C12" i="7"/>
  <c r="D22" i="7"/>
  <c r="C22" i="7"/>
  <c r="B22" i="7"/>
  <c r="C20" i="7"/>
  <c r="D14" i="7"/>
  <c r="C14" i="7"/>
  <c r="C16" i="7" s="1"/>
  <c r="B14" i="7"/>
  <c r="D23" i="6"/>
  <c r="B23" i="6"/>
  <c r="C23" i="6"/>
  <c r="D21" i="6"/>
  <c r="D21" i="5"/>
  <c r="B21" i="5"/>
  <c r="B21" i="6"/>
  <c r="C21" i="6"/>
  <c r="D20" i="6"/>
  <c r="B20" i="6"/>
  <c r="C20" i="6"/>
  <c r="D19" i="6"/>
  <c r="C19" i="6"/>
  <c r="B19" i="6"/>
  <c r="D16" i="6"/>
  <c r="B16" i="6"/>
  <c r="C16" i="6"/>
  <c r="D14" i="6"/>
  <c r="D12" i="6"/>
  <c r="D13" i="6" s="1"/>
  <c r="B14" i="6"/>
  <c r="B12" i="6"/>
  <c r="C14" i="6"/>
  <c r="C12" i="6"/>
  <c r="D22" i="6"/>
  <c r="C22" i="6"/>
  <c r="B22" i="6"/>
  <c r="D23" i="5"/>
  <c r="B23" i="5"/>
  <c r="C23" i="5"/>
  <c r="D16" i="5"/>
  <c r="C16" i="5"/>
  <c r="B16" i="5"/>
  <c r="D14" i="5"/>
  <c r="C14" i="5"/>
  <c r="B14" i="5"/>
  <c r="D22" i="5"/>
  <c r="C22" i="5"/>
  <c r="B22" i="5"/>
  <c r="C21" i="5"/>
  <c r="D20" i="5"/>
  <c r="C20" i="5"/>
  <c r="B20" i="5"/>
  <c r="D19" i="5"/>
  <c r="C19" i="5"/>
  <c r="B19" i="5" a="1"/>
  <c r="B19" i="5" s="1"/>
  <c r="D12" i="5"/>
  <c r="C12" i="5"/>
  <c r="B12" i="5"/>
  <c r="D22" i="4"/>
  <c r="B22" i="4"/>
  <c r="C22" i="4"/>
  <c r="D21" i="4"/>
  <c r="B21" i="4"/>
  <c r="C21" i="4"/>
  <c r="B16" i="4"/>
  <c r="D16" i="4"/>
  <c r="B14" i="4"/>
  <c r="B12" i="4"/>
  <c r="D14" i="4"/>
  <c r="D12" i="4"/>
  <c r="D15" i="7" l="1"/>
  <c r="B15" i="7"/>
  <c r="B13" i="7"/>
  <c r="D13" i="7"/>
  <c r="D17" i="7"/>
  <c r="B17" i="7"/>
  <c r="D17" i="6"/>
  <c r="B17" i="6"/>
  <c r="B13" i="6"/>
  <c r="B15" i="6"/>
  <c r="D15" i="6"/>
  <c r="B13" i="5"/>
  <c r="D13" i="5"/>
  <c r="D17" i="5"/>
  <c r="B17" i="5"/>
  <c r="B15" i="5"/>
  <c r="D15" i="5"/>
  <c r="B23" i="4"/>
  <c r="D23" i="4"/>
  <c r="D15" i="2"/>
  <c r="B15" i="2"/>
  <c r="D11" i="1"/>
  <c r="B11" i="1"/>
  <c r="D23" i="2"/>
  <c r="B23" i="2"/>
  <c r="C23" i="2"/>
  <c r="D20" i="2"/>
  <c r="D21" i="2" s="1"/>
  <c r="B20" i="2"/>
  <c r="B21" i="2" s="1"/>
  <c r="D17" i="1"/>
  <c r="B17" i="1"/>
  <c r="C17" i="1"/>
  <c r="B15" i="1"/>
  <c r="B16" i="1" s="1"/>
  <c r="D15" i="1"/>
  <c r="D16" i="1" s="1"/>
  <c r="C11" i="1"/>
  <c r="D13" i="1" s="1"/>
  <c r="D19" i="4"/>
  <c r="B19" i="4" a="1"/>
  <c r="B19" i="4" s="1"/>
  <c r="C19" i="4"/>
  <c r="C14" i="4"/>
  <c r="C23" i="4" s="1"/>
  <c r="D20" i="4"/>
  <c r="C20" i="4"/>
  <c r="B20" i="4"/>
  <c r="C12" i="4"/>
  <c r="C20" i="2"/>
  <c r="C21" i="2" s="1"/>
  <c r="D19" i="2"/>
  <c r="B19" i="2"/>
  <c r="C19" i="2"/>
  <c r="C15" i="2"/>
  <c r="D17" i="2" s="1"/>
  <c r="C12" i="2"/>
  <c r="D14" i="2" s="1"/>
  <c r="C15" i="1"/>
  <c r="C16" i="1" s="1"/>
  <c r="D15" i="4" l="1"/>
  <c r="B15" i="4"/>
  <c r="C16" i="4"/>
  <c r="D17" i="4" s="1"/>
  <c r="B13" i="4"/>
  <c r="D13" i="4"/>
  <c r="B14" i="2"/>
  <c r="B17" i="2"/>
  <c r="B13" i="2"/>
  <c r="D13" i="2"/>
  <c r="C22" i="2"/>
  <c r="B16" i="2"/>
  <c r="D16" i="2"/>
  <c r="B13" i="1"/>
  <c r="B22" i="2"/>
  <c r="D22" i="2"/>
  <c r="D12" i="1"/>
  <c r="B12" i="1"/>
  <c r="B17" i="4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<sst xmlns="http://schemas.openxmlformats.org/spreadsheetml/2006/main" count="380" uniqueCount="83">
  <si>
    <t>Value</t>
  </si>
  <si>
    <t>Tolerance</t>
  </si>
  <si>
    <t>Comparator Reference</t>
  </si>
  <si>
    <t>Tolerance (%)</t>
  </si>
  <si>
    <t>NA</t>
  </si>
  <si>
    <t>Unit</t>
  </si>
  <si>
    <t>Ω</t>
  </si>
  <si>
    <t>V</t>
  </si>
  <si>
    <t>µA</t>
  </si>
  <si>
    <t>Input Threshold</t>
  </si>
  <si>
    <t>Minimum</t>
  </si>
  <si>
    <t>Typical</t>
  </si>
  <si>
    <t>Maximum</t>
  </si>
  <si>
    <t>Divider Current @ Threshold</t>
  </si>
  <si>
    <t>Comparator Input Leakage Max</t>
  </si>
  <si>
    <t>Calculated Values</t>
  </si>
  <si>
    <t>Top Resistor</t>
  </si>
  <si>
    <t>Bottom Resistor</t>
  </si>
  <si>
    <t>Comment</t>
  </si>
  <si>
    <t>User Inputs (Blue cells)</t>
  </si>
  <si>
    <t>Middle Resistor</t>
  </si>
  <si>
    <t>Input UV Threshold</t>
  </si>
  <si>
    <t>Input OV Threshold</t>
  </si>
  <si>
    <t>Divider Current @ UV Threshold</t>
  </si>
  <si>
    <t>Divider Current @ OV Threshold</t>
  </si>
  <si>
    <t>Hysteresis Resistor</t>
  </si>
  <si>
    <t>Input Rising Threshold</t>
  </si>
  <si>
    <t>Input Falling Threshold</t>
  </si>
  <si>
    <t>Divider Current @ Rise Threshold</t>
  </si>
  <si>
    <t>Divider Current @ Fall Threshold</t>
  </si>
  <si>
    <t>Include comparator offset in reference tolerance</t>
  </si>
  <si>
    <t>Input Threshold Hysteresis</t>
  </si>
  <si>
    <t>Input Threshold Tolerance</t>
  </si>
  <si>
    <t>%</t>
  </si>
  <si>
    <t>REF</t>
  </si>
  <si>
    <t>Figure 1: 2-Resistor Divider Without Hysteresis</t>
  </si>
  <si>
    <t>Top Resistor Power @ Threshold</t>
  </si>
  <si>
    <t>Bottom Resistor Power @ Thresh</t>
  </si>
  <si>
    <t>mW</t>
  </si>
  <si>
    <r>
      <t xml:space="preserve">Input leakage is 0 typical with </t>
    </r>
    <r>
      <rPr>
        <sz val="11"/>
        <color theme="1"/>
        <rFont val="Calibri"/>
        <family val="2"/>
      </rPr>
      <t>±Max value entered</t>
    </r>
  </si>
  <si>
    <t>Input UV Threshold Tolerance</t>
  </si>
  <si>
    <t>Input OV Threshold Tolerance</t>
  </si>
  <si>
    <t>Middle Resistor Power @ OV Thresh</t>
  </si>
  <si>
    <t>Bottom Resistor Power @ OV Thresh</t>
  </si>
  <si>
    <t>Top Resistor Power @ OV Threshold</t>
  </si>
  <si>
    <t>UV/OV Comparator Reference</t>
  </si>
  <si>
    <t>Figure 2: 3-Resistor Divider for UV and OV Thresholds</t>
  </si>
  <si>
    <t>Threshold Error Due to Leakage</t>
  </si>
  <si>
    <t>Note: If non-blue cells need to be edited, first Unprotect Sheet under Review menu.</t>
  </si>
  <si>
    <t>UV Threshold Error Due to Leakage</t>
  </si>
  <si>
    <t>OV Threshold Error Due to Leakage</t>
  </si>
  <si>
    <t>Min/Max threshold as percentage from Typical</t>
  </si>
  <si>
    <t>Minimized by selecting lower value resistors</t>
  </si>
  <si>
    <t>Minimized by selecting higher value resistors</t>
  </si>
  <si>
    <t>Sets resistor package size</t>
  </si>
  <si>
    <t>Figure 3: Adding Hysteresis with a Resistor from Divider Tap to Power Switch Output</t>
  </si>
  <si>
    <t>Input UV Rising Threshold</t>
  </si>
  <si>
    <t>Input UV Falling Threshold</t>
  </si>
  <si>
    <t>Input UV Threshold Hysteresis</t>
  </si>
  <si>
    <t>UV Rising Threshold Tolerance</t>
  </si>
  <si>
    <t>UV Falling Threshold Tolerance</t>
  </si>
  <si>
    <t>UV Hysteresis Tolerance</t>
  </si>
  <si>
    <t>Min/Max hysteresis as percentage from Typical</t>
  </si>
  <si>
    <t>Bottom Resistor Power @ Rise Thresh</t>
  </si>
  <si>
    <t>Hysteresis Resistor Power @ Fall Th</t>
  </si>
  <si>
    <t>Bottom Resistor Power @ Rise/Fall Th</t>
  </si>
  <si>
    <t>Rising Threshold Tolerance</t>
  </si>
  <si>
    <t>Falling Threshold Tolerance</t>
  </si>
  <si>
    <t>Hysteresis Tolerance</t>
  </si>
  <si>
    <t>Hysteresis Resistor Power @ Rise Th</t>
  </si>
  <si>
    <t>Figure 4a: Adding Hysteresis with a Switched Parallel Resistor from Divider Tap to Ground</t>
  </si>
  <si>
    <t>Figure 4b: Adding Hysteresis with a Switched Series Resistor at Divider Bottom</t>
  </si>
  <si>
    <t>Hysteresis Current</t>
  </si>
  <si>
    <t>Top Resistor Power @ Rise Threshold</t>
  </si>
  <si>
    <t>Figure 4a: Adding Hysteresis with a Switched Current into Divider Tap</t>
  </si>
  <si>
    <t>Information furnished by Analog Devices is believed to be accurate and reliable. However, no responsibility is assumed by Analog</t>
  </si>
  <si>
    <t>Devices for its use, nor for any infringements of patents or other rights of third parties that may result from its use. Specifications</t>
  </si>
  <si>
    <t>subject to change without notice. No license is granted by implication or otherwise under any patent or patent rights of Analog Devices.</t>
  </si>
  <si>
    <t>Get latest version from: http://www.analog.com</t>
  </si>
  <si>
    <t>Figure numbers in each sheet refer to those in the above article.</t>
  </si>
  <si>
    <t>Adding Hysteresis for Smooth Undervoltage and Overvoltage Lockout by Pinkesh Sachdev</t>
  </si>
  <si>
    <t>Version 1.0, 26 January 2021</t>
  </si>
  <si>
    <t>For an explanation of this calculator, please refer to the above article on http://www.analog.com.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</si>
</sst>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_(* #,##0_);_(* \(#,##0\);_(* &quot;-&quot;??_);_(@_)"/>
    <numFmt numFmtId="165" formatCode="0.0"/>
    <numFmt numFmtId="166" formatCode="0.000"/>
    <numFmt numFmtId="167" formatCode="0.0%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5">
    <xf numFmtId="0" fontId="0" fillId="0" borderId="0" xfId="0"/>
    <xf numFmtId="0" fontId="3" fillId="0" borderId="0" xfId="0" applyFont="1"/>
    <xf numFmtId="0" fontId="0" fillId="0" borderId="0" xfId="0" applyFont="1"/>
    <xf numFmtId="0" fontId="2" fillId="3" borderId="0" xfId="0" applyFont="1" applyFill="1"/>
    <xf numFmtId="0" fontId="2" fillId="3" borderId="0" xfId="0" applyFont="1" applyFill="1" applyAlignment="1">
      <alignment horizontal="center"/>
    </xf>
    <xf numFmtId="0" fontId="2" fillId="3" borderId="0" xfId="0" applyFont="1" applyFill="1" applyAlignment="1">
      <alignment horizontal="center" vertical="center"/>
    </xf>
    <xf numFmtId="0" fontId="0" fillId="0" borderId="0" xfId="0" applyFill="1"/>
    <xf numFmtId="164" fontId="0" fillId="2" borderId="0" xfId="1" applyNumberFormat="1" applyFont="1" applyFill="1" applyProtection="1">
      <protection locked="0"/>
    </xf>
    <xf numFmtId="166" fontId="0" fillId="2" borderId="0" xfId="0" applyNumberFormat="1" applyFill="1" applyProtection="1">
      <protection locked="0"/>
    </xf>
    <xf numFmtId="167" fontId="3" fillId="2" borderId="0" xfId="2" applyNumberFormat="1" applyFont="1" applyFill="1" applyAlignment="1" applyProtection="1">
      <alignment horizontal="center"/>
      <protection locked="0"/>
    </xf>
    <xf numFmtId="167" fontId="0" fillId="2" borderId="0" xfId="2" applyNumberFormat="1" applyFont="1" applyFill="1" applyAlignment="1" applyProtection="1">
      <alignment horizontal="center"/>
      <protection locked="0"/>
    </xf>
    <xf numFmtId="166" fontId="0" fillId="0" borderId="0" xfId="0" applyNumberFormat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10" fontId="0" fillId="0" borderId="0" xfId="2" applyNumberFormat="1" applyFont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166" fontId="0" fillId="0" borderId="0" xfId="0" applyNumberFormat="1" applyAlignment="1">
      <alignment horizontal="left" vertical="center"/>
    </xf>
    <xf numFmtId="167" fontId="3" fillId="0" borderId="0" xfId="2" applyNumberFormat="1" applyFont="1" applyFill="1" applyAlignment="1" applyProtection="1">
      <alignment horizontal="left"/>
    </xf>
    <xf numFmtId="0" fontId="0" fillId="0" borderId="0" xfId="0" applyFill="1" applyAlignment="1">
      <alignment horizontal="left"/>
    </xf>
    <xf numFmtId="167" fontId="0" fillId="0" borderId="0" xfId="2" applyNumberFormat="1" applyFont="1" applyFill="1" applyAlignment="1" applyProtection="1">
      <alignment horizontal="left"/>
    </xf>
    <xf numFmtId="0" fontId="0" fillId="0" borderId="0" xfId="0" applyFill="1" applyAlignment="1">
      <alignment horizontal="center"/>
    </xf>
    <xf numFmtId="9" fontId="3" fillId="0" borderId="0" xfId="2" applyFont="1" applyFill="1" applyAlignment="1" applyProtection="1">
      <alignment horizontal="left"/>
    </xf>
    <xf numFmtId="9" fontId="0" fillId="0" borderId="0" xfId="2" applyFont="1" applyFill="1" applyAlignment="1" applyProtection="1">
      <alignment horizontal="left"/>
    </xf>
    <xf numFmtId="10" fontId="0" fillId="2" borderId="0" xfId="2" applyNumberFormat="1" applyFont="1" applyFill="1" applyAlignment="1" applyProtection="1">
      <alignment horizontal="center"/>
      <protection locked="0"/>
    </xf>
    <xf numFmtId="0" fontId="0" fillId="0" borderId="0" xfId="0" applyAlignment="1">
      <alignment horizontal="left"/>
    </xf>
    <xf numFmtId="0" fontId="2" fillId="0" borderId="0" xfId="0" applyFont="1" applyAlignment="1">
      <alignment horizontal="center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19050</xdr:colOff>
      <xdr:row>2</xdr:row>
      <xdr:rowOff>6350</xdr:rowOff>
    </xdr:from>
    <xdr:to>
      <xdr:col>11</xdr:col>
      <xdr:colOff>165100</xdr:colOff>
      <xdr:row>15</xdr:row>
      <xdr:rowOff>19050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562A4C5-8BFD-4B2A-815A-A503C165F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24750" y="374650"/>
          <a:ext cx="5022850" cy="24066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19050</xdr:colOff>
      <xdr:row>1</xdr:row>
      <xdr:rowOff>0</xdr:rowOff>
    </xdr:from>
    <xdr:to>
      <xdr:col>16</xdr:col>
      <xdr:colOff>419100</xdr:colOff>
      <xdr:row>23</xdr:row>
      <xdr:rowOff>12700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A0EC1F1-3222-4E9F-8477-2D2B31FDC3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3500" y="184150"/>
          <a:ext cx="6496050" cy="4064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12700</xdr:colOff>
      <xdr:row>1</xdr:row>
      <xdr:rowOff>6350</xdr:rowOff>
    </xdr:from>
    <xdr:to>
      <xdr:col>14</xdr:col>
      <xdr:colOff>514350</xdr:colOff>
      <xdr:row>19</xdr:row>
      <xdr:rowOff>165100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F380E7B6-1A19-49B6-92A9-EB0B35DC0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91450" y="190500"/>
          <a:ext cx="5378450" cy="34734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19050</xdr:colOff>
      <xdr:row>2</xdr:row>
      <xdr:rowOff>6350</xdr:rowOff>
    </xdr:from>
    <xdr:to>
      <xdr:col>14</xdr:col>
      <xdr:colOff>368300</xdr:colOff>
      <xdr:row>20</xdr:row>
      <xdr:rowOff>12700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8D85D194-3698-4ED9-8C00-01F1370F4F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97800" y="374650"/>
          <a:ext cx="5226050" cy="3321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12700</xdr:colOff>
      <xdr:row>2</xdr:row>
      <xdr:rowOff>12700</xdr:rowOff>
    </xdr:from>
    <xdr:to>
      <xdr:col>14</xdr:col>
      <xdr:colOff>361950</xdr:colOff>
      <xdr:row>20</xdr:row>
      <xdr:rowOff>19050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AAE73FA-90B6-4390-A36F-4DB96A953E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91450" y="381000"/>
          <a:ext cx="5226050" cy="3321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19050</xdr:colOff>
      <xdr:row>2</xdr:row>
      <xdr:rowOff>12700</xdr:rowOff>
    </xdr:from>
    <xdr:to>
      <xdr:col>14</xdr:col>
      <xdr:colOff>368300</xdr:colOff>
      <xdr:row>20</xdr:row>
      <xdr:rowOff>19050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671E75-209E-401C-B878-8367EBBF8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97800" y="381000"/>
          <a:ext cx="5226050" cy="3321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950C32-4715-45E4-A4CE-F671BD4CF9BB}">
  <dimension ref="A1:M11"/>
  <sheetViews>
    <sheetView tabSelected="1" workbookViewId="0">
      <selection sqref="A1:M1"/>
    </sheetView>
  </sheetViews>
  <sheetFormatPr defaultRowHeight="14.5" x14ac:dyDescent="0.35"/>
  <cols>
    <col min="7" max="7" width="8.7265625" customWidth="1"/>
  </cols>
  <sheetData>
    <row r="1" spans="1:13" x14ac:dyDescent="0.35">
      <c r="A1" s="24" t="s">
        <v>80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</row>
    <row r="3" spans="1:13" x14ac:dyDescent="0.35">
      <c r="A3" t="s">
        <v>82</v>
      </c>
    </row>
    <row r="4" spans="1:13" x14ac:dyDescent="0.35">
      <c r="A4" t="s">
        <v>79</v>
      </c>
    </row>
    <row r="6" spans="1:13" x14ac:dyDescent="0.35">
      <c r="A6" t="s">
        <v>75</v>
      </c>
    </row>
    <row r="7" spans="1:13" x14ac:dyDescent="0.35">
      <c r="A7" t="s">
        <v>76</v>
      </c>
    </row>
    <row r="8" spans="1:13" x14ac:dyDescent="0.35">
      <c r="A8" t="s">
        <v>77</v>
      </c>
    </row>
    <row r="10" spans="1:13" x14ac:dyDescent="0.35">
      <c r="A10" s="23" t="s">
        <v>81</v>
      </c>
      <c r="B10" s="23"/>
      <c r="C10" s="23"/>
      <c r="D10" s="23"/>
      <c r="E10" s="23"/>
      <c r="F10" s="23"/>
    </row>
    <row r="11" spans="1:13" x14ac:dyDescent="0.35">
      <c r="A11" s="23" t="s">
        <v>78</v>
      </c>
      <c r="B11" s="23"/>
      <c r="C11" s="23"/>
      <c r="D11" s="23"/>
      <c r="E11" s="23"/>
      <c r="F11" s="23"/>
    </row>
  </sheetData>
  <sheetProtection sheet="1" objects="1" scenarios="1"/>
  <mergeCells count="3">
    <mergeCell ref="A10:F10"/>
    <mergeCell ref="A11:F11"/>
    <mergeCell ref="A1:M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046BCB-706B-421E-83AF-80A123020F6D}">
  <dimension ref="A1:J20"/>
  <sheetViews>
    <sheetView workbookViewId="0">
      <selection activeCell="A3" sqref="A3:F3"/>
    </sheetView>
  </sheetViews>
  <sheetFormatPr defaultRowHeight="14.5" x14ac:dyDescent="0.35"/>
  <cols>
    <col min="1" max="1" width="28.26953125" customWidth="1"/>
    <col min="2" max="2" width="11.08984375" customWidth="1"/>
    <col min="3" max="3" width="9.6328125" customWidth="1"/>
    <col min="4" max="4" width="12.1796875" bestFit="1" customWidth="1"/>
    <col min="5" max="5" width="4.36328125" bestFit="1" customWidth="1"/>
    <col min="6" max="6" width="41.90625" customWidth="1"/>
    <col min="7" max="7" width="34.90625" customWidth="1"/>
  </cols>
  <sheetData>
    <row r="1" spans="1:10" x14ac:dyDescent="0.35">
      <c r="A1" s="24" t="s">
        <v>80</v>
      </c>
      <c r="B1" s="24"/>
      <c r="C1" s="24"/>
      <c r="D1" s="24"/>
      <c r="E1" s="24"/>
      <c r="F1" s="24"/>
    </row>
    <row r="3" spans="1:10" x14ac:dyDescent="0.35">
      <c r="A3" s="24" t="s">
        <v>35</v>
      </c>
      <c r="B3" s="24"/>
      <c r="C3" s="24"/>
      <c r="D3" s="24"/>
      <c r="E3" s="24"/>
      <c r="F3" s="24"/>
    </row>
    <row r="4" spans="1:10" x14ac:dyDescent="0.35">
      <c r="A4" s="3" t="s">
        <v>19</v>
      </c>
      <c r="B4" s="4" t="s">
        <v>0</v>
      </c>
      <c r="C4" s="3" t="s">
        <v>5</v>
      </c>
      <c r="D4" s="5" t="s">
        <v>1</v>
      </c>
      <c r="E4" s="5" t="s">
        <v>5</v>
      </c>
      <c r="F4" s="3" t="s">
        <v>18</v>
      </c>
      <c r="G4" s="6"/>
      <c r="H4" s="6"/>
      <c r="I4" s="6"/>
      <c r="J4" s="6"/>
    </row>
    <row r="5" spans="1:10" x14ac:dyDescent="0.35">
      <c r="A5" t="s">
        <v>16</v>
      </c>
      <c r="B5" s="7">
        <v>10000</v>
      </c>
      <c r="C5" s="1" t="s">
        <v>6</v>
      </c>
      <c r="D5" s="9">
        <v>0.01</v>
      </c>
      <c r="E5" s="16" t="s">
        <v>33</v>
      </c>
    </row>
    <row r="6" spans="1:10" x14ac:dyDescent="0.35">
      <c r="A6" t="s">
        <v>17</v>
      </c>
      <c r="B6" s="7">
        <v>1000</v>
      </c>
      <c r="C6" s="1" t="s">
        <v>6</v>
      </c>
      <c r="D6" s="10">
        <v>0.01</v>
      </c>
      <c r="E6" s="18" t="s">
        <v>33</v>
      </c>
    </row>
    <row r="7" spans="1:10" x14ac:dyDescent="0.35">
      <c r="A7" t="s">
        <v>2</v>
      </c>
      <c r="B7" s="8">
        <v>1</v>
      </c>
      <c r="C7" s="1" t="s">
        <v>7</v>
      </c>
      <c r="D7" s="22">
        <v>0.02</v>
      </c>
      <c r="E7" s="18" t="s">
        <v>33</v>
      </c>
      <c r="F7" t="s">
        <v>30</v>
      </c>
    </row>
    <row r="8" spans="1:10" x14ac:dyDescent="0.35">
      <c r="A8" t="s">
        <v>14</v>
      </c>
      <c r="B8" s="8">
        <v>1</v>
      </c>
      <c r="C8" s="1" t="s">
        <v>8</v>
      </c>
      <c r="D8" s="19" t="s">
        <v>4</v>
      </c>
      <c r="E8" s="17"/>
      <c r="F8" t="s">
        <v>39</v>
      </c>
    </row>
    <row r="10" spans="1:10" x14ac:dyDescent="0.35">
      <c r="A10" s="3" t="s">
        <v>15</v>
      </c>
      <c r="B10" s="5" t="s">
        <v>10</v>
      </c>
      <c r="C10" s="5" t="s">
        <v>11</v>
      </c>
      <c r="D10" s="5" t="s">
        <v>12</v>
      </c>
      <c r="E10" s="5" t="s">
        <v>5</v>
      </c>
      <c r="F10" s="3" t="s">
        <v>18</v>
      </c>
    </row>
    <row r="11" spans="1:10" x14ac:dyDescent="0.35">
      <c r="A11" t="s">
        <v>9</v>
      </c>
      <c r="B11" s="11">
        <f xml:space="preserve"> VT * (1 - TOL_VT)  *  (RB * (1 + TOL_RB)  +  RT * (1 - TOL_RT))/(RB * (1 + TOL_RB))  -   ILK * 0.000001 * RT * (1 - TOL_RT)</f>
        <v>10.576040594059405</v>
      </c>
      <c r="C11" s="11">
        <f xml:space="preserve"> VT * (RB + RT) / RB</f>
        <v>11</v>
      </c>
      <c r="D11" s="11">
        <f xml:space="preserve"> VT * (1 + TOL_VT)  *  (RB * (1 - TOL_RB)  +  RT * (1 + TOL_RT))/(RB * (1 - TOL_RB))  +   ILK * 0.000001 * RT * (1 + TOL_RT)</f>
        <v>11.436160606060607</v>
      </c>
      <c r="E11" s="15" t="s">
        <v>7</v>
      </c>
      <c r="F11" s="1"/>
    </row>
    <row r="12" spans="1:10" x14ac:dyDescent="0.35">
      <c r="A12" t="s">
        <v>32</v>
      </c>
      <c r="B12" s="13">
        <f xml:space="preserve"> B11/C11 - 1</f>
        <v>-3.8541764176417748E-2</v>
      </c>
      <c r="C12" s="11" t="s">
        <v>34</v>
      </c>
      <c r="D12" s="13">
        <f xml:space="preserve"> D11/C11 - 1</f>
        <v>3.9650964187327942E-2</v>
      </c>
      <c r="E12" s="15" t="s">
        <v>33</v>
      </c>
      <c r="F12" s="1" t="s">
        <v>51</v>
      </c>
    </row>
    <row r="13" spans="1:10" x14ac:dyDescent="0.35">
      <c r="A13" t="s">
        <v>47</v>
      </c>
      <c r="B13" s="13">
        <f xml:space="preserve"> -   ILK * 0.000001 * RT * (1 - TOL_RT) / C11</f>
        <v>-9.0000000000000008E-4</v>
      </c>
      <c r="C13" s="11" t="s">
        <v>34</v>
      </c>
      <c r="D13" s="13">
        <f xml:space="preserve"> ILK * 0.000001 * RT * (1 + TOL_RT) / C11</f>
        <v>9.181818181818181E-4</v>
      </c>
      <c r="E13" s="15" t="s">
        <v>33</v>
      </c>
      <c r="F13" s="1" t="s">
        <v>52</v>
      </c>
    </row>
    <row r="14" spans="1:10" x14ac:dyDescent="0.35">
      <c r="B14" s="13"/>
      <c r="C14" s="11"/>
      <c r="D14" s="13"/>
      <c r="E14" s="15"/>
      <c r="F14" s="1"/>
    </row>
    <row r="15" spans="1:10" x14ac:dyDescent="0.35">
      <c r="A15" t="s">
        <v>13</v>
      </c>
      <c r="B15" s="12">
        <f xml:space="preserve"> 1000000 * VT * (1 - TOL_VT) / RB / (1 + TOL_RB)  -  ILK</f>
        <v>969.29702970297024</v>
      </c>
      <c r="C15" s="12">
        <f xml:space="preserve"> 1000000 * VT / RB</f>
        <v>1000</v>
      </c>
      <c r="D15" s="12">
        <f xml:space="preserve"> 1000000 * VT * (1 + TOL_VT) / RB / (1 - TOL_RB)  +  ILK</f>
        <v>1031.3030303030303</v>
      </c>
      <c r="E15" s="15" t="s">
        <v>8</v>
      </c>
      <c r="F15" s="1" t="s">
        <v>53</v>
      </c>
    </row>
    <row r="16" spans="1:10" x14ac:dyDescent="0.35">
      <c r="A16" t="s">
        <v>36</v>
      </c>
      <c r="B16" s="14">
        <f xml:space="preserve"> 0.000000001 * B15^2 * RT * (1 - TOL_RT)</f>
        <v>9.3014136447309088</v>
      </c>
      <c r="C16" s="14">
        <f xml:space="preserve"> 0.000000001 * C15^2 * RT</f>
        <v>10</v>
      </c>
      <c r="D16" s="14">
        <f xml:space="preserve"> 0.000000001 * D15^2 * RT * (1 + TOL_RT)</f>
        <v>10.74221799715335</v>
      </c>
      <c r="E16" s="15" t="s">
        <v>38</v>
      </c>
      <c r="F16" s="1" t="s">
        <v>54</v>
      </c>
    </row>
    <row r="17" spans="1:6" x14ac:dyDescent="0.35">
      <c r="A17" t="s">
        <v>37</v>
      </c>
      <c r="B17" s="14">
        <f xml:space="preserve"> 1000 * VT^2 * (1 - TOL_VT)^2 / RB / (1 + TOL_RB)</f>
        <v>0.95089108910891074</v>
      </c>
      <c r="C17" s="14">
        <f xml:space="preserve"> 1000 * VT^2 / RB</f>
        <v>1</v>
      </c>
      <c r="D17" s="14">
        <f xml:space="preserve"> 1000 * VT^2 * (1 + TOL_VT)^2 / RB / (1 - TOL_RB)</f>
        <v>1.050909090909091</v>
      </c>
      <c r="E17" s="15" t="s">
        <v>38</v>
      </c>
      <c r="F17" s="1" t="s">
        <v>54</v>
      </c>
    </row>
    <row r="18" spans="1:6" x14ac:dyDescent="0.35">
      <c r="B18" s="14"/>
      <c r="C18" s="14"/>
      <c r="D18" s="14"/>
      <c r="E18" s="15"/>
      <c r="F18" s="1"/>
    </row>
    <row r="19" spans="1:6" x14ac:dyDescent="0.35">
      <c r="B19" s="13"/>
      <c r="C19" s="11"/>
      <c r="D19" s="13"/>
      <c r="E19" s="13"/>
      <c r="F19" s="1"/>
    </row>
    <row r="20" spans="1:6" x14ac:dyDescent="0.35">
      <c r="A20" t="s">
        <v>48</v>
      </c>
    </row>
  </sheetData>
  <sheetProtection sheet="1" objects="1" scenarios="1"/>
  <mergeCells count="2">
    <mergeCell ref="A1:F1"/>
    <mergeCell ref="A3:F3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BE51F2-0130-4793-8B9C-8CC7EFB7043A}">
  <dimension ref="A1:F26"/>
  <sheetViews>
    <sheetView workbookViewId="0">
      <selection activeCell="A3" sqref="A3:F3"/>
    </sheetView>
  </sheetViews>
  <sheetFormatPr defaultRowHeight="14.5" x14ac:dyDescent="0.35"/>
  <cols>
    <col min="1" max="1" width="30.90625" customWidth="1"/>
    <col min="2" max="2" width="10.81640625" customWidth="1"/>
    <col min="3" max="3" width="9.6328125" customWidth="1"/>
    <col min="4" max="4" width="12.1796875" bestFit="1" customWidth="1"/>
    <col min="5" max="5" width="4.36328125" bestFit="1" customWidth="1"/>
    <col min="6" max="6" width="41.81640625" customWidth="1"/>
  </cols>
  <sheetData>
    <row r="1" spans="1:6" x14ac:dyDescent="0.35">
      <c r="A1" s="24" t="s">
        <v>80</v>
      </c>
      <c r="B1" s="24"/>
      <c r="C1" s="24"/>
      <c r="D1" s="24"/>
      <c r="E1" s="24"/>
      <c r="F1" s="24"/>
    </row>
    <row r="3" spans="1:6" x14ac:dyDescent="0.35">
      <c r="A3" s="24" t="s">
        <v>46</v>
      </c>
      <c r="B3" s="24"/>
      <c r="C3" s="24"/>
      <c r="D3" s="24"/>
      <c r="E3" s="24"/>
      <c r="F3" s="24"/>
    </row>
    <row r="4" spans="1:6" x14ac:dyDescent="0.35">
      <c r="A4" s="3" t="s">
        <v>19</v>
      </c>
      <c r="B4" s="4" t="s">
        <v>0</v>
      </c>
      <c r="C4" s="3" t="s">
        <v>5</v>
      </c>
      <c r="D4" s="5" t="s">
        <v>1</v>
      </c>
      <c r="E4" s="5" t="s">
        <v>5</v>
      </c>
      <c r="F4" s="3" t="s">
        <v>18</v>
      </c>
    </row>
    <row r="5" spans="1:6" x14ac:dyDescent="0.35">
      <c r="A5" t="s">
        <v>16</v>
      </c>
      <c r="B5" s="7">
        <v>10000</v>
      </c>
      <c r="C5" s="1" t="s">
        <v>6</v>
      </c>
      <c r="D5" s="9">
        <v>0.01</v>
      </c>
      <c r="E5" s="16" t="s">
        <v>33</v>
      </c>
    </row>
    <row r="6" spans="1:6" x14ac:dyDescent="0.35">
      <c r="A6" s="2" t="s">
        <v>20</v>
      </c>
      <c r="B6" s="7">
        <v>1000</v>
      </c>
      <c r="C6" s="1" t="s">
        <v>6</v>
      </c>
      <c r="D6" s="9">
        <v>0.01</v>
      </c>
      <c r="E6" s="16" t="s">
        <v>33</v>
      </c>
    </row>
    <row r="7" spans="1:6" x14ac:dyDescent="0.35">
      <c r="A7" t="s">
        <v>17</v>
      </c>
      <c r="B7" s="7">
        <v>1000</v>
      </c>
      <c r="C7" s="1" t="s">
        <v>6</v>
      </c>
      <c r="D7" s="10">
        <v>0.01</v>
      </c>
      <c r="E7" s="18" t="s">
        <v>33</v>
      </c>
    </row>
    <row r="8" spans="1:6" x14ac:dyDescent="0.35">
      <c r="A8" t="s">
        <v>45</v>
      </c>
      <c r="B8" s="8">
        <v>1</v>
      </c>
      <c r="C8" s="1" t="s">
        <v>7</v>
      </c>
      <c r="D8" s="22">
        <v>0.02</v>
      </c>
      <c r="E8" s="18" t="s">
        <v>33</v>
      </c>
      <c r="F8" t="s">
        <v>30</v>
      </c>
    </row>
    <row r="9" spans="1:6" x14ac:dyDescent="0.35">
      <c r="A9" t="s">
        <v>14</v>
      </c>
      <c r="B9" s="8">
        <v>1</v>
      </c>
      <c r="C9" s="1" t="s">
        <v>8</v>
      </c>
      <c r="D9" s="19" t="s">
        <v>4</v>
      </c>
      <c r="E9" s="19"/>
      <c r="F9" t="s">
        <v>39</v>
      </c>
    </row>
    <row r="11" spans="1:6" x14ac:dyDescent="0.35">
      <c r="A11" s="3" t="s">
        <v>15</v>
      </c>
      <c r="B11" s="5" t="s">
        <v>10</v>
      </c>
      <c r="C11" s="5" t="s">
        <v>11</v>
      </c>
      <c r="D11" s="5" t="s">
        <v>12</v>
      </c>
      <c r="E11" s="5" t="s">
        <v>5</v>
      </c>
      <c r="F11" s="3" t="s">
        <v>18</v>
      </c>
    </row>
    <row r="12" spans="1:6" x14ac:dyDescent="0.35">
      <c r="A12" t="s">
        <v>21</v>
      </c>
      <c r="B12" s="11">
        <f xml:space="preserve"> VT * (1 - TOL_VT) * (RB * (1 + TOL_RB)  +  RM * (1 + TOL_RM) + RT * (1 - TOL_RT))/(RB * (1 + TOL_RB) + RM * (1 + TOL_RM))  -  ILK * 0.000001 * RT * (1 - TOL_RT) * (1 + RB/(RB + RM))</f>
        <v>5.7681202970297027</v>
      </c>
      <c r="C12" s="11">
        <f xml:space="preserve"> VT * (RB + RM + RT) / (RB + RM)</f>
        <v>6</v>
      </c>
      <c r="D12" s="11">
        <f xml:space="preserve"> VT * (1 + TOL_VT) * (RB * (1 - TOL_RB)  +  RM * (1 - TOL_RM) + RT * (1 + TOL_RT))/(RB * (1 - TOL_RB) + RM * (1 - TOL_RM))  +  ILK * 0.000001 * RT * (1 + TOL_RT) * (1 + RB/(RB + RM))</f>
        <v>6.2381803030303038</v>
      </c>
      <c r="E12" s="15" t="s">
        <v>7</v>
      </c>
      <c r="F12" s="1"/>
    </row>
    <row r="13" spans="1:6" x14ac:dyDescent="0.35">
      <c r="A13" t="s">
        <v>40</v>
      </c>
      <c r="B13" s="13">
        <f xml:space="preserve"> B12/C12 - 1</f>
        <v>-3.8646617161716246E-2</v>
      </c>
      <c r="C13" s="11" t="s">
        <v>34</v>
      </c>
      <c r="D13" s="13">
        <f xml:space="preserve"> D12/C12 - 1</f>
        <v>3.96967171717173E-2</v>
      </c>
      <c r="E13" s="15" t="s">
        <v>33</v>
      </c>
      <c r="F13" s="1" t="s">
        <v>51</v>
      </c>
    </row>
    <row r="14" spans="1:6" x14ac:dyDescent="0.35">
      <c r="A14" t="s">
        <v>49</v>
      </c>
      <c r="B14" s="13">
        <f xml:space="preserve"> -  ILK * 0.000001 * RT * (1 - TOL_RT) / C12</f>
        <v>-1.6500000000000002E-3</v>
      </c>
      <c r="C14" s="11" t="s">
        <v>34</v>
      </c>
      <c r="D14" s="13">
        <f xml:space="preserve"> ILK * 0.000001 * RT * (1 + TOL_RT) / C12</f>
        <v>1.6833333333333333E-3</v>
      </c>
      <c r="E14" s="15" t="s">
        <v>33</v>
      </c>
      <c r="F14" s="1" t="s">
        <v>52</v>
      </c>
    </row>
    <row r="15" spans="1:6" x14ac:dyDescent="0.35">
      <c r="A15" t="s">
        <v>22</v>
      </c>
      <c r="B15" s="11">
        <f xml:space="preserve"> VT * (1 - TOL_VT) * (RB * (1 + TOL_RB)  +  RM * (1 - TOL_RM) + RT * (1 - TOL_RT))/(RB * (1 + TOL_RB))  -  ILK * 0.000001 * (RM * (1 - TOL_RM)  +  2 * RT * (1 - TOL_RT))</f>
        <v>11.525744653465347</v>
      </c>
      <c r="C15" s="11">
        <f xml:space="preserve"> VT * (RB + RM + RT) / RB</f>
        <v>12</v>
      </c>
      <c r="D15" s="11">
        <f xml:space="preserve"> VT * (1 + TOL_VT) * (RB * (1 - TOL_RB)  +  RM * (1 + TOL_RM) + RT * (1 + TOL_RT))/(RB * (1 - TOL_RB))  +  ILK * 0.000001 * (RM * (1 + TOL_RM)  +  2 * RT * (1 + TOL_RT))</f>
        <v>12.487876666666667</v>
      </c>
      <c r="E15" s="15" t="s">
        <v>7</v>
      </c>
      <c r="F15" s="1"/>
    </row>
    <row r="16" spans="1:6" x14ac:dyDescent="0.35">
      <c r="A16" t="s">
        <v>41</v>
      </c>
      <c r="B16" s="13">
        <f xml:space="preserve"> B15/C15 - 1</f>
        <v>-3.95212788778877E-2</v>
      </c>
      <c r="C16" s="11" t="s">
        <v>34</v>
      </c>
      <c r="D16" s="13">
        <f xml:space="preserve"> D15/C15 - 1</f>
        <v>4.0656388888888895E-2</v>
      </c>
      <c r="E16" s="15" t="s">
        <v>33</v>
      </c>
      <c r="F16" s="1" t="s">
        <v>51</v>
      </c>
    </row>
    <row r="17" spans="1:6" x14ac:dyDescent="0.35">
      <c r="A17" t="s">
        <v>50</v>
      </c>
      <c r="B17" s="13">
        <f xml:space="preserve"> -  ILK * 0.000001 * (RM * (1 - TOL_RM)  +  2 * RT * (1 - TOL_RT)) / C15</f>
        <v>-1.7324999999999999E-3</v>
      </c>
      <c r="C17" s="11" t="s">
        <v>34</v>
      </c>
      <c r="D17" s="13">
        <f xml:space="preserve"> ILK * 0.000001 * (RM * (1 + TOL_RM)  +  2 * RT * (1 + TOL_RT)) / C15</f>
        <v>1.7675E-3</v>
      </c>
      <c r="E17" s="15" t="s">
        <v>33</v>
      </c>
      <c r="F17" s="1" t="s">
        <v>52</v>
      </c>
    </row>
    <row r="18" spans="1:6" x14ac:dyDescent="0.35">
      <c r="B18" s="13"/>
      <c r="C18" s="11"/>
      <c r="D18" s="13"/>
      <c r="E18" s="15"/>
      <c r="F18" s="1"/>
    </row>
    <row r="19" spans="1:6" x14ac:dyDescent="0.35">
      <c r="A19" t="s">
        <v>23</v>
      </c>
      <c r="B19" s="12">
        <f xml:space="preserve"> 1000000 * VT * (1 - TOL_VT) / (RB * (1 + TOL_RB) + RM * (1 + TOL_RM) ) - ILK</f>
        <v>484.14851485148517</v>
      </c>
      <c r="C19" s="12">
        <f xml:space="preserve"> 1000000 * VT / (RB + RM)</f>
        <v>500</v>
      </c>
      <c r="D19" s="12">
        <f xml:space="preserve"> 1000000 * VT * (1 + TOL_VT) / (RB * (1 - TOL_RB) + RM * (1 - TOL_RM) ) + ILK</f>
        <v>516.15151515151513</v>
      </c>
      <c r="E19" s="15" t="s">
        <v>8</v>
      </c>
      <c r="F19" s="1" t="s">
        <v>53</v>
      </c>
    </row>
    <row r="20" spans="1:6" x14ac:dyDescent="0.35">
      <c r="A20" t="s">
        <v>24</v>
      </c>
      <c r="B20" s="12">
        <f xml:space="preserve"> 1000000 * VT * (1 - TOL_VT) / (RB * (1 + TOL_RB)) - 2 * ILK</f>
        <v>968.29702970297035</v>
      </c>
      <c r="C20" s="12">
        <f xml:space="preserve"> 1000000 * VT / RB</f>
        <v>1000</v>
      </c>
      <c r="D20" s="12">
        <f xml:space="preserve"> 1000000 * VT * (1 + TOL_VT) / (RB * (1 - TOL_RB)) + 2 * ILK</f>
        <v>1032.3030303030303</v>
      </c>
      <c r="E20" s="15" t="s">
        <v>8</v>
      </c>
      <c r="F20" s="1" t="s">
        <v>53</v>
      </c>
    </row>
    <row r="21" spans="1:6" x14ac:dyDescent="0.35">
      <c r="A21" t="s">
        <v>44</v>
      </c>
      <c r="B21" s="14">
        <f xml:space="preserve"> 0.000000001 * B20^2 * RT * (1 - TOL_RT)</f>
        <v>9.2822314635427929</v>
      </c>
      <c r="C21" s="14">
        <f xml:space="preserve"> 0.000000001 * C20^2 * RT</f>
        <v>10</v>
      </c>
      <c r="D21" s="14">
        <f xml:space="preserve"> 0.000000001 * D20^2 * RT * (1 + TOL_RT)</f>
        <v>10.763060418365473</v>
      </c>
      <c r="E21" s="15" t="s">
        <v>38</v>
      </c>
      <c r="F21" s="1" t="s">
        <v>54</v>
      </c>
    </row>
    <row r="22" spans="1:6" x14ac:dyDescent="0.35">
      <c r="A22" t="s">
        <v>42</v>
      </c>
      <c r="B22" s="14">
        <f xml:space="preserve"> 0.000000001 * (B20 + ILK)^2 * RM * (1 - TOL_RM)</f>
        <v>0.93014136447309093</v>
      </c>
      <c r="C22" s="14">
        <f xml:space="preserve"> 0.000000001 * C20^2 * RM</f>
        <v>1</v>
      </c>
      <c r="D22" s="14">
        <f xml:space="preserve"> 0.000000001 * (D20 - ILK)^2 * RM * (1 + TOL_RM)</f>
        <v>1.0742217997153352</v>
      </c>
      <c r="E22" s="15" t="s">
        <v>38</v>
      </c>
      <c r="F22" s="1" t="s">
        <v>54</v>
      </c>
    </row>
    <row r="23" spans="1:6" x14ac:dyDescent="0.35">
      <c r="A23" t="s">
        <v>43</v>
      </c>
      <c r="B23" s="14">
        <f xml:space="preserve"> 1000 * VT^2 * (1 - TOL_VT)^2 / RB / (1 + TOL_RB)</f>
        <v>0.95089108910891074</v>
      </c>
      <c r="C23" s="14">
        <f xml:space="preserve"> 1000 * VT^2 / RB</f>
        <v>1</v>
      </c>
      <c r="D23" s="14">
        <f xml:space="preserve"> 1000 * VT^2 * (1 + TOL_VT)^2 / RB / (1 - TOL_RB)</f>
        <v>1.050909090909091</v>
      </c>
      <c r="E23" s="15" t="s">
        <v>38</v>
      </c>
      <c r="F23" s="1" t="s">
        <v>54</v>
      </c>
    </row>
    <row r="24" spans="1:6" x14ac:dyDescent="0.35">
      <c r="B24" s="14"/>
      <c r="C24" s="14"/>
      <c r="D24" s="14"/>
      <c r="E24" s="11"/>
      <c r="F24" s="1"/>
    </row>
    <row r="26" spans="1:6" x14ac:dyDescent="0.35">
      <c r="A26" t="s">
        <v>48</v>
      </c>
    </row>
  </sheetData>
  <sheetProtection sheet="1" objects="1" scenarios="1"/>
  <mergeCells count="2">
    <mergeCell ref="A1:F1"/>
    <mergeCell ref="A3:F3"/>
  </mergeCells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0F0353-6419-46A1-806E-CD815772E314}">
  <dimension ref="A1:F26"/>
  <sheetViews>
    <sheetView workbookViewId="0">
      <selection activeCell="A3" sqref="A3:F3"/>
    </sheetView>
  </sheetViews>
  <sheetFormatPr defaultRowHeight="14.5" x14ac:dyDescent="0.35"/>
  <cols>
    <col min="1" max="1" width="31.7265625" customWidth="1"/>
    <col min="2" max="2" width="11.1796875" customWidth="1"/>
    <col min="3" max="3" width="9.6328125" customWidth="1"/>
    <col min="4" max="4" width="12.1796875" bestFit="1" customWidth="1"/>
    <col min="5" max="5" width="4.36328125" bestFit="1" customWidth="1"/>
    <col min="6" max="6" width="42.26953125" customWidth="1"/>
  </cols>
  <sheetData>
    <row r="1" spans="1:6" x14ac:dyDescent="0.35">
      <c r="A1" s="24" t="s">
        <v>80</v>
      </c>
      <c r="B1" s="24"/>
      <c r="C1" s="24"/>
      <c r="D1" s="24"/>
      <c r="E1" s="24"/>
      <c r="F1" s="24"/>
    </row>
    <row r="3" spans="1:6" x14ac:dyDescent="0.35">
      <c r="A3" s="24" t="s">
        <v>55</v>
      </c>
      <c r="B3" s="24"/>
      <c r="C3" s="24"/>
      <c r="D3" s="24"/>
      <c r="E3" s="24"/>
      <c r="F3" s="24"/>
    </row>
    <row r="4" spans="1:6" x14ac:dyDescent="0.35">
      <c r="A4" s="3" t="s">
        <v>19</v>
      </c>
      <c r="B4" s="4" t="s">
        <v>0</v>
      </c>
      <c r="C4" s="3" t="s">
        <v>5</v>
      </c>
      <c r="D4" s="3" t="s">
        <v>3</v>
      </c>
      <c r="E4" s="3" t="s">
        <v>5</v>
      </c>
      <c r="F4" s="3" t="s">
        <v>18</v>
      </c>
    </row>
    <row r="5" spans="1:6" x14ac:dyDescent="0.35">
      <c r="A5" t="s">
        <v>16</v>
      </c>
      <c r="B5" s="7">
        <v>10000</v>
      </c>
      <c r="C5" s="1" t="s">
        <v>6</v>
      </c>
      <c r="D5" s="9">
        <v>0.01</v>
      </c>
      <c r="E5" s="20" t="s">
        <v>33</v>
      </c>
    </row>
    <row r="6" spans="1:6" x14ac:dyDescent="0.35">
      <c r="A6" t="s">
        <v>17</v>
      </c>
      <c r="B6" s="7">
        <v>1000</v>
      </c>
      <c r="C6" s="1" t="s">
        <v>6</v>
      </c>
      <c r="D6" s="10">
        <v>0.01</v>
      </c>
      <c r="E6" s="21" t="s">
        <v>33</v>
      </c>
    </row>
    <row r="7" spans="1:6" x14ac:dyDescent="0.35">
      <c r="A7" t="s">
        <v>25</v>
      </c>
      <c r="B7" s="7">
        <v>100000</v>
      </c>
      <c r="C7" s="1" t="s">
        <v>6</v>
      </c>
      <c r="D7" s="10">
        <v>0.01</v>
      </c>
      <c r="E7" s="21" t="s">
        <v>33</v>
      </c>
    </row>
    <row r="8" spans="1:6" x14ac:dyDescent="0.35">
      <c r="A8" t="s">
        <v>2</v>
      </c>
      <c r="B8" s="8">
        <v>1</v>
      </c>
      <c r="C8" s="1" t="s">
        <v>7</v>
      </c>
      <c r="D8" s="22">
        <v>0.02</v>
      </c>
      <c r="E8" s="21" t="s">
        <v>33</v>
      </c>
      <c r="F8" t="s">
        <v>30</v>
      </c>
    </row>
    <row r="9" spans="1:6" x14ac:dyDescent="0.35">
      <c r="A9" t="s">
        <v>14</v>
      </c>
      <c r="B9" s="8">
        <v>1</v>
      </c>
      <c r="C9" s="1" t="s">
        <v>8</v>
      </c>
      <c r="D9" s="19" t="s">
        <v>4</v>
      </c>
      <c r="E9" s="17"/>
      <c r="F9" t="s">
        <v>39</v>
      </c>
    </row>
    <row r="11" spans="1:6" x14ac:dyDescent="0.35">
      <c r="A11" s="3" t="s">
        <v>15</v>
      </c>
      <c r="B11" s="5" t="s">
        <v>10</v>
      </c>
      <c r="C11" s="5" t="s">
        <v>11</v>
      </c>
      <c r="D11" s="5" t="s">
        <v>12</v>
      </c>
      <c r="E11" s="3" t="s">
        <v>5</v>
      </c>
      <c r="F11" s="3" t="s">
        <v>18</v>
      </c>
    </row>
    <row r="12" spans="1:6" x14ac:dyDescent="0.35">
      <c r="A12" t="s">
        <v>56</v>
      </c>
      <c r="B12" s="11">
        <f xml:space="preserve"> VT * (1 - TOL_VT) * (1 + RT * (1 - TOL_RT) * (1/RB/(1 + TOL_RB) + 1/RH/(1 + TOL_RH)))  -  0.000001 * ILK * RT * (1 - TOL_RT)</f>
        <v>10.6721</v>
      </c>
      <c r="C12" s="11">
        <f xml:space="preserve"> VT * (1 + RT * (1/RB + 1/RH))</f>
        <v>11.1</v>
      </c>
      <c r="D12" s="11">
        <f xml:space="preserve"> VT * (1 + TOL_VT) * (1 + RT * (1 + TOL_RT) * (1/RB/(1 - TOL_RB) + 1/RH/(1 - TOL_RH)))  +  0.000001 * ILK * RT * (1 + TOL_RT)</f>
        <v>11.540221212121212</v>
      </c>
      <c r="E12" s="1" t="s">
        <v>7</v>
      </c>
      <c r="F12" s="1"/>
    </row>
    <row r="13" spans="1:6" x14ac:dyDescent="0.35">
      <c r="A13" t="s">
        <v>59</v>
      </c>
      <c r="B13" s="13">
        <f xml:space="preserve"> B12/C12 - 1</f>
        <v>-3.8549549549549478E-2</v>
      </c>
      <c r="C13" s="11" t="s">
        <v>34</v>
      </c>
      <c r="D13" s="13">
        <f xml:space="preserve"> D12/C12 - 1</f>
        <v>3.9659568659568656E-2</v>
      </c>
      <c r="E13" s="1" t="s">
        <v>33</v>
      </c>
      <c r="F13" s="1" t="s">
        <v>51</v>
      </c>
    </row>
    <row r="14" spans="1:6" x14ac:dyDescent="0.35">
      <c r="A14" t="s">
        <v>57</v>
      </c>
      <c r="B14" s="11">
        <f xml:space="preserve"> VT * (1 - TOL_VT)  +  (VT * (1 - TOL_VT)/RB/(1 + TOL_RB) - 0.000001 * ILK)  *  RT * (1 - TOL_RT) * RH * (1 - TOL_RH)/(RT * (1 - TOL_RT) + RH * (1 - TOL_RH))</f>
        <v>9.7036732673267334</v>
      </c>
      <c r="C14" s="11">
        <f xml:space="preserve"> VT * (1 + RT * RH / RB / (RT + RH))</f>
        <v>10.090909090909092</v>
      </c>
      <c r="D14" s="11">
        <f xml:space="preserve"> VT * (1 + TOL_VT)  +  (VT * (1 + TOL_VT)/RB/(1 - TOL_RB) + 0.000001 * ILK)  *  RT * (1 + TOL_RT) * RH * (1 + TOL_RH)/(RT * (1 + TOL_RT) + RH * (1 + TOL_RH))</f>
        <v>10.489236914600552</v>
      </c>
      <c r="E14" s="1" t="s">
        <v>7</v>
      </c>
      <c r="F14" s="1"/>
    </row>
    <row r="15" spans="1:6" x14ac:dyDescent="0.35">
      <c r="A15" t="s">
        <v>60</v>
      </c>
      <c r="B15" s="13">
        <f xml:space="preserve"> B14/C14 - 1</f>
        <v>-3.837472125590935E-2</v>
      </c>
      <c r="C15" s="11" t="s">
        <v>34</v>
      </c>
      <c r="D15" s="13">
        <f xml:space="preserve"> D14/C14 - 1</f>
        <v>3.9473928473928499E-2</v>
      </c>
      <c r="E15" s="1" t="s">
        <v>33</v>
      </c>
      <c r="F15" s="1" t="s">
        <v>51</v>
      </c>
    </row>
    <row r="16" spans="1:6" x14ac:dyDescent="0.35">
      <c r="A16" t="s">
        <v>58</v>
      </c>
      <c r="B16" s="11">
        <f xml:space="preserve"> VT * (1 - TOL_VT) * (RT * (1 - TOL_RT) * (1/RB/(1 + TOL_RB) + 1/RH/(1 + TOL_RH)))  -  0.000001 * ILK * RT * (1 - TOL_RT) - ((VT * (1 - TOL_VT)/RB/(1 + TOL_RB) - 0.000001 * ILK)  *  RT * (1 - TOL_RT) * RH * (1 + TOL_RH)/(RT * (1 - TOL_RT) + RH * (1 + TOL_RH)))</f>
        <v>0.95269422903516521</v>
      </c>
      <c r="C16" s="11">
        <f>C12 - C14</f>
        <v>1.0090909090909079</v>
      </c>
      <c r="D16" s="11">
        <f xml:space="preserve"> VT * (1 + TOL_VT) * (RT * (1 + TOL_RT) * (1/RB/(1 - TOL_RB) + 1/RH/(1 - TOL_RH)))  +  0.000001 * ILK * RT * (1 + TOL_RT) - ((VT * (1 + TOL_VT)/RB/(1 - TOL_RB) + 0.000001 * ILK)  *  RT * (1 + TOL_RT) * RH * (1 - TOL_RH)/(RT * (1 + TOL_RT) + RH * (1 - TOL_RH)))</f>
        <v>1.0683431186290004</v>
      </c>
      <c r="E16" s="1" t="s">
        <v>7</v>
      </c>
      <c r="F16" s="1"/>
    </row>
    <row r="17" spans="1:6" x14ac:dyDescent="0.35">
      <c r="A17" t="s">
        <v>61</v>
      </c>
      <c r="B17" s="13">
        <f xml:space="preserve"> B16/C16 - 1</f>
        <v>-5.5888601857042364E-2</v>
      </c>
      <c r="C17" s="11" t="s">
        <v>34</v>
      </c>
      <c r="D17" s="13">
        <f xml:space="preserve"> D16/C16 - 1</f>
        <v>5.871840584856014E-2</v>
      </c>
      <c r="E17" s="1" t="s">
        <v>33</v>
      </c>
      <c r="F17" s="1" t="s">
        <v>62</v>
      </c>
    </row>
    <row r="18" spans="1:6" x14ac:dyDescent="0.35">
      <c r="B18" s="11"/>
      <c r="C18" s="11"/>
      <c r="D18" s="11"/>
      <c r="E18" s="1"/>
      <c r="F18" s="1"/>
    </row>
    <row r="19" spans="1:6" x14ac:dyDescent="0.35">
      <c r="A19" t="s">
        <v>28</v>
      </c>
      <c r="B19" s="12" cm="1">
        <f t="array" ref="B19" xml:space="preserve"> 1000000 * VT * (1 - TOL_VT) * (1/RB/(1 + TOL_RB) + 1/RH/(1 + TOL_RH)) - ILK</f>
        <v>979</v>
      </c>
      <c r="C19" s="12">
        <f xml:space="preserve"> 1000000 * VT * (1/RB + 1/RH)</f>
        <v>1010</v>
      </c>
      <c r="D19" s="12">
        <f xml:space="preserve"> 1000000 * VT * (1 + TOL_VT) * (1/RB/(1 - TOL_RB) + 1/RH/(1 - TOL_RH)) + ILK</f>
        <v>1041.6060606060605</v>
      </c>
      <c r="E19" s="1" t="s">
        <v>8</v>
      </c>
      <c r="F19" s="1" t="s">
        <v>53</v>
      </c>
    </row>
    <row r="20" spans="1:6" x14ac:dyDescent="0.35">
      <c r="A20" t="s">
        <v>29</v>
      </c>
      <c r="B20" s="12">
        <f xml:space="preserve"> 1000000 * VT * (1 - TOL_VT) / RB / (1 + TOL_RB) - ILK</f>
        <v>969.29702970297024</v>
      </c>
      <c r="C20" s="12">
        <f xml:space="preserve"> 1000000 * VT / RB</f>
        <v>1000</v>
      </c>
      <c r="D20" s="12">
        <f xml:space="preserve"> 1000000 * VT * (1 + TOL_VT) / RB / (1 - TOL_RB) + ILK</f>
        <v>1031.3030303030303</v>
      </c>
      <c r="E20" s="1" t="s">
        <v>8</v>
      </c>
      <c r="F20" s="1" t="s">
        <v>53</v>
      </c>
    </row>
    <row r="21" spans="1:6" x14ac:dyDescent="0.35">
      <c r="A21" t="s">
        <v>73</v>
      </c>
      <c r="B21" s="14">
        <f xml:space="preserve"> 1000 * (VT/RB/(1 + TOL_RB) + VT/RH/(1 + TOL_RH) - 0.000001 *ILK)^2 * RT * (1 - TOL_RT)</f>
        <v>9.8802099000000041</v>
      </c>
      <c r="C21" s="14">
        <f xml:space="preserve"> 1000 * (VT/RB + VT/RH)^2 * RT</f>
        <v>10.201000000000001</v>
      </c>
      <c r="D21" s="14">
        <f xml:space="preserve"> 1000 * (VT/RB/(1 - TOL_RB) + VT/RH/(1 - TOL_RH) + 0.000001 *ILK)^2 * RT * (1 + TOL_RT)</f>
        <v>10.532821017253339</v>
      </c>
      <c r="E21" s="1" t="s">
        <v>38</v>
      </c>
      <c r="F21" s="1" t="s">
        <v>54</v>
      </c>
    </row>
    <row r="22" spans="1:6" x14ac:dyDescent="0.35">
      <c r="A22" t="s">
        <v>65</v>
      </c>
      <c r="B22" s="14">
        <f xml:space="preserve"> 1000 * VT^2 * (1 - TOL_VT)^2 / RB / (1 + TOL_RB)</f>
        <v>0.95089108910891074</v>
      </c>
      <c r="C22" s="14">
        <f xml:space="preserve"> 1000 * VT^2 / RB</f>
        <v>1</v>
      </c>
      <c r="D22" s="14">
        <f xml:space="preserve"> 1000 * VT^2 * (1 + TOL_VT)^2 / RB / (1 - TOL_RB)</f>
        <v>1.050909090909091</v>
      </c>
      <c r="E22" s="1" t="s">
        <v>38</v>
      </c>
      <c r="F22" s="1" t="s">
        <v>54</v>
      </c>
    </row>
    <row r="23" spans="1:6" x14ac:dyDescent="0.35">
      <c r="A23" t="s">
        <v>64</v>
      </c>
      <c r="B23" s="14">
        <f xml:space="preserve"> 1000 * (B14 - VT * (1 - TOL_VT))^2 / RH / (1 - TOL_RH)</f>
        <v>0.76871187146536446</v>
      </c>
      <c r="C23" s="14">
        <f xml:space="preserve"> 1000 * (C14 - VT)^2 / RH</f>
        <v>0.82644628099173567</v>
      </c>
      <c r="D23" s="14">
        <f xml:space="preserve"> 1000 * (D14 - VT * (1 + TOL_VT))^2 / RH / (1 + TOL_RH)</f>
        <v>0.88778661133498804</v>
      </c>
      <c r="E23" s="1" t="s">
        <v>38</v>
      </c>
      <c r="F23" s="1" t="s">
        <v>54</v>
      </c>
    </row>
    <row r="26" spans="1:6" x14ac:dyDescent="0.35">
      <c r="A26" t="s">
        <v>48</v>
      </c>
    </row>
  </sheetData>
  <sheetProtection sheet="1" objects="1" scenarios="1"/>
  <mergeCells count="2">
    <mergeCell ref="A1:F1"/>
    <mergeCell ref="A3:F3"/>
  </mergeCell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8DBCEB-74DC-4F95-8D2C-2AD5A35374C9}">
  <dimension ref="A1:F26"/>
  <sheetViews>
    <sheetView workbookViewId="0">
      <selection activeCell="A3" sqref="A3:F3"/>
    </sheetView>
  </sheetViews>
  <sheetFormatPr defaultRowHeight="14.5" x14ac:dyDescent="0.35"/>
  <cols>
    <col min="1" max="1" width="31.7265625" customWidth="1"/>
    <col min="2" max="2" width="11.1796875" customWidth="1"/>
    <col min="3" max="3" width="9.6328125" customWidth="1"/>
    <col min="4" max="4" width="12.1796875" bestFit="1" customWidth="1"/>
    <col min="5" max="5" width="4.36328125" bestFit="1" customWidth="1"/>
    <col min="6" max="6" width="42.26953125" customWidth="1"/>
  </cols>
  <sheetData>
    <row r="1" spans="1:6" x14ac:dyDescent="0.35">
      <c r="A1" s="24" t="s">
        <v>80</v>
      </c>
      <c r="B1" s="24"/>
      <c r="C1" s="24"/>
      <c r="D1" s="24"/>
      <c r="E1" s="24"/>
      <c r="F1" s="24"/>
    </row>
    <row r="3" spans="1:6" x14ac:dyDescent="0.35">
      <c r="A3" s="24" t="s">
        <v>70</v>
      </c>
      <c r="B3" s="24"/>
      <c r="C3" s="24"/>
      <c r="D3" s="24"/>
      <c r="E3" s="24"/>
      <c r="F3" s="24"/>
    </row>
    <row r="4" spans="1:6" x14ac:dyDescent="0.35">
      <c r="A4" s="3" t="s">
        <v>19</v>
      </c>
      <c r="B4" s="4" t="s">
        <v>0</v>
      </c>
      <c r="C4" s="3" t="s">
        <v>5</v>
      </c>
      <c r="D4" s="3" t="s">
        <v>3</v>
      </c>
      <c r="E4" s="3" t="s">
        <v>5</v>
      </c>
      <c r="F4" s="3" t="s">
        <v>18</v>
      </c>
    </row>
    <row r="5" spans="1:6" x14ac:dyDescent="0.35">
      <c r="A5" t="s">
        <v>16</v>
      </c>
      <c r="B5" s="7">
        <v>10000</v>
      </c>
      <c r="C5" s="1" t="s">
        <v>6</v>
      </c>
      <c r="D5" s="9">
        <v>0.01</v>
      </c>
      <c r="E5" s="20" t="s">
        <v>33</v>
      </c>
    </row>
    <row r="6" spans="1:6" x14ac:dyDescent="0.35">
      <c r="A6" t="s">
        <v>17</v>
      </c>
      <c r="B6" s="7">
        <v>1000</v>
      </c>
      <c r="C6" s="1" t="s">
        <v>6</v>
      </c>
      <c r="D6" s="10">
        <v>0.01</v>
      </c>
      <c r="E6" s="21" t="s">
        <v>33</v>
      </c>
    </row>
    <row r="7" spans="1:6" x14ac:dyDescent="0.35">
      <c r="A7" t="s">
        <v>25</v>
      </c>
      <c r="B7" s="7">
        <v>100000</v>
      </c>
      <c r="C7" s="1" t="s">
        <v>6</v>
      </c>
      <c r="D7" s="10">
        <v>0.01</v>
      </c>
      <c r="E7" s="21" t="s">
        <v>33</v>
      </c>
    </row>
    <row r="8" spans="1:6" x14ac:dyDescent="0.35">
      <c r="A8" t="s">
        <v>2</v>
      </c>
      <c r="B8" s="8">
        <v>1</v>
      </c>
      <c r="C8" s="1" t="s">
        <v>7</v>
      </c>
      <c r="D8" s="22">
        <v>0.02</v>
      </c>
      <c r="E8" s="21" t="s">
        <v>33</v>
      </c>
      <c r="F8" t="s">
        <v>30</v>
      </c>
    </row>
    <row r="9" spans="1:6" x14ac:dyDescent="0.35">
      <c r="A9" t="s">
        <v>14</v>
      </c>
      <c r="B9" s="8">
        <v>1</v>
      </c>
      <c r="C9" s="1" t="s">
        <v>8</v>
      </c>
      <c r="D9" s="19" t="s">
        <v>4</v>
      </c>
      <c r="E9" s="17"/>
      <c r="F9" t="s">
        <v>39</v>
      </c>
    </row>
    <row r="11" spans="1:6" x14ac:dyDescent="0.35">
      <c r="A11" s="3" t="s">
        <v>15</v>
      </c>
      <c r="B11" s="5" t="s">
        <v>10</v>
      </c>
      <c r="C11" s="5" t="s">
        <v>11</v>
      </c>
      <c r="D11" s="5" t="s">
        <v>12</v>
      </c>
      <c r="E11" s="3" t="s">
        <v>5</v>
      </c>
      <c r="F11" s="3" t="s">
        <v>18</v>
      </c>
    </row>
    <row r="12" spans="1:6" x14ac:dyDescent="0.35">
      <c r="A12" t="s">
        <v>26</v>
      </c>
      <c r="B12" s="11">
        <f xml:space="preserve"> VT * (1 - TOL_VT) * (1 + RT * (1 - TOL_RT) * (1/RB/(1 + TOL_RB) + 1/RH/(1 + TOL_RH)))  -  0.000001 * ILK * RT * (1 - TOL_RT)</f>
        <v>10.6721</v>
      </c>
      <c r="C12" s="11">
        <f xml:space="preserve"> VT * (1 + RT * (1/RB + 1/RH))</f>
        <v>11.1</v>
      </c>
      <c r="D12" s="11">
        <f xml:space="preserve"> VT * (1 + TOL_VT) * (1 + RT * (1 + TOL_RT) * (1/RB/(1 - TOL_RB) + 1/RH/(1 - TOL_RH)))  +  0.000001 * ILK * RT * (1 + TOL_RT)</f>
        <v>11.540221212121212</v>
      </c>
      <c r="E12" s="1" t="s">
        <v>7</v>
      </c>
      <c r="F12" s="1"/>
    </row>
    <row r="13" spans="1:6" x14ac:dyDescent="0.35">
      <c r="A13" t="s">
        <v>66</v>
      </c>
      <c r="B13" s="13">
        <f xml:space="preserve"> B12/C12 - 1</f>
        <v>-3.8549549549549478E-2</v>
      </c>
      <c r="C13" s="11" t="s">
        <v>34</v>
      </c>
      <c r="D13" s="13">
        <f xml:space="preserve"> D12/C12 - 1</f>
        <v>3.9659568659568656E-2</v>
      </c>
      <c r="E13" s="1" t="s">
        <v>33</v>
      </c>
      <c r="F13" s="1" t="s">
        <v>51</v>
      </c>
    </row>
    <row r="14" spans="1:6" x14ac:dyDescent="0.35">
      <c r="A14" t="s">
        <v>27</v>
      </c>
      <c r="B14" s="11">
        <f xml:space="preserve"> VT * (1 - TOL_VT)  *  (RB * (1 + TOL_RB)  +  RT * (1 - TOL_RT))/(RB * (1 + TOL_RB))  -   ILK * 0.000001 * RT * (1 - TOL_RT)</f>
        <v>10.576040594059405</v>
      </c>
      <c r="C14" s="11">
        <f xml:space="preserve"> VT * (RB + RT) / RB</f>
        <v>11</v>
      </c>
      <c r="D14" s="11">
        <f xml:space="preserve"> VT * (1 + TOL_VT)  *  (RB * (1 - TOL_RB)  +  RT * (1 + TOL_RT))/(RB * (1 - TOL_RB))  +   ILK * 0.000001 * RT * (1 + TOL_RT)</f>
        <v>11.436160606060607</v>
      </c>
      <c r="E14" s="1" t="s">
        <v>7</v>
      </c>
      <c r="F14" s="1"/>
    </row>
    <row r="15" spans="1:6" x14ac:dyDescent="0.35">
      <c r="A15" t="s">
        <v>67</v>
      </c>
      <c r="B15" s="13">
        <f xml:space="preserve"> B14/C14 - 1</f>
        <v>-3.8541764176417748E-2</v>
      </c>
      <c r="C15" s="11" t="s">
        <v>34</v>
      </c>
      <c r="D15" s="13">
        <f xml:space="preserve"> D14/C14 - 1</f>
        <v>3.9650964187327942E-2</v>
      </c>
      <c r="E15" s="1" t="s">
        <v>33</v>
      </c>
      <c r="F15" s="1" t="s">
        <v>51</v>
      </c>
    </row>
    <row r="16" spans="1:6" x14ac:dyDescent="0.35">
      <c r="A16" t="s">
        <v>31</v>
      </c>
      <c r="B16" s="11">
        <f xml:space="preserve"> VT * (1 - TOL_VT) * RT * (1 - TOL_RT)/RH/(1 + TOL_RH)</f>
        <v>9.6059405940594048E-2</v>
      </c>
      <c r="C16" s="11">
        <f xml:space="preserve"> VT * RT/RH</f>
        <v>0.1</v>
      </c>
      <c r="D16" s="11">
        <f xml:space="preserve"> VT * (1 + TOL_VT) * RT * (1 + TOL_RT)/RH/(1 - TOL_RH)</f>
        <v>0.10406060606060606</v>
      </c>
      <c r="E16" s="1" t="s">
        <v>7</v>
      </c>
      <c r="F16" s="1"/>
    </row>
    <row r="17" spans="1:6" x14ac:dyDescent="0.35">
      <c r="A17" t="s">
        <v>68</v>
      </c>
      <c r="B17" s="13">
        <f xml:space="preserve"> B16/C16 - 1</f>
        <v>-3.9405940594059552E-2</v>
      </c>
      <c r="C17" s="11" t="s">
        <v>34</v>
      </c>
      <c r="D17" s="13">
        <f xml:space="preserve"> D16/C16 - 1</f>
        <v>4.0606060606060534E-2</v>
      </c>
      <c r="E17" s="1" t="s">
        <v>33</v>
      </c>
      <c r="F17" s="1" t="s">
        <v>62</v>
      </c>
    </row>
    <row r="18" spans="1:6" x14ac:dyDescent="0.35">
      <c r="B18" s="11"/>
      <c r="C18" s="11"/>
      <c r="D18" s="11"/>
      <c r="E18" s="1"/>
      <c r="F18" s="1"/>
    </row>
    <row r="19" spans="1:6" x14ac:dyDescent="0.35">
      <c r="A19" t="s">
        <v>28</v>
      </c>
      <c r="B19" s="12" cm="1">
        <f t="array" ref="B19" xml:space="preserve"> 1000000 * VT * (1 - TOL_VT) * (1/RB/(1 + TOL_RB) + 1/RH/(1 + TOL_RH)) - ILK</f>
        <v>979</v>
      </c>
      <c r="C19" s="12">
        <f xml:space="preserve"> 1000000 * VT * (1/RB + 1/RH)</f>
        <v>1010</v>
      </c>
      <c r="D19" s="12">
        <f xml:space="preserve"> 1000000 * VT * (1 + TOL_VT) * (1/RB/(1 - TOL_RB) + 1/RH/(1 - TOL_RH)) + ILK</f>
        <v>1041.6060606060605</v>
      </c>
      <c r="E19" s="1" t="s">
        <v>8</v>
      </c>
      <c r="F19" s="1" t="s">
        <v>53</v>
      </c>
    </row>
    <row r="20" spans="1:6" x14ac:dyDescent="0.35">
      <c r="A20" t="s">
        <v>29</v>
      </c>
      <c r="B20" s="12">
        <f xml:space="preserve"> 1000000 * VT * (1 - TOL_VT) / RB / (1 + TOL_RB) - ILK</f>
        <v>969.29702970297024</v>
      </c>
      <c r="C20" s="12">
        <f xml:space="preserve"> 1000000 * VT / RB</f>
        <v>1000</v>
      </c>
      <c r="D20" s="12">
        <f xml:space="preserve"> 1000000 * VT * (1 + TOL_VT) / RB / (1 - TOL_RB) + ILK</f>
        <v>1031.3030303030303</v>
      </c>
      <c r="E20" s="1" t="s">
        <v>8</v>
      </c>
      <c r="F20" s="1" t="s">
        <v>53</v>
      </c>
    </row>
    <row r="21" spans="1:6" x14ac:dyDescent="0.35">
      <c r="A21" t="s">
        <v>73</v>
      </c>
      <c r="B21" s="14">
        <f xml:space="preserve"> 1000 * (VT * (1 - TOL_VT)/RB/(1 + TOL_RB) + VT * (1 - TOL_VT)/RH/(1 + TOL_RH) - 0.000001 *ILK)^2 * RT * (1 - TOL_RT)</f>
        <v>9.4885658999999993</v>
      </c>
      <c r="C21" s="14">
        <f xml:space="preserve"> 1000 * (VT/RB + VT/RH)^2 * RT</f>
        <v>10.201000000000001</v>
      </c>
      <c r="D21" s="14">
        <f xml:space="preserve"> 1000 * (VT * (1 + TOL_VT)/RB/(1 - TOL_RB) + VT * (1 + TOL_VT)/RH/(1 - TOL_RH) + 0.000001 *ILK)^2 * RT * (1 + TOL_RT)</f>
        <v>10.957926173461894</v>
      </c>
      <c r="E21" s="1" t="s">
        <v>38</v>
      </c>
      <c r="F21" s="1" t="s">
        <v>54</v>
      </c>
    </row>
    <row r="22" spans="1:6" x14ac:dyDescent="0.35">
      <c r="A22" t="s">
        <v>65</v>
      </c>
      <c r="B22" s="14">
        <f xml:space="preserve"> 1000 * VT^2 * (1 - TOL_VT)^2 / RB / (1 + TOL_RB)</f>
        <v>0.95089108910891074</v>
      </c>
      <c r="C22" s="14">
        <f xml:space="preserve"> 1000 * VT^2 / RB</f>
        <v>1</v>
      </c>
      <c r="D22" s="14">
        <f xml:space="preserve"> 1000 * VT^2 * (1 + TOL_VT)^2 / RB / (1 - TOL_RB)</f>
        <v>1.050909090909091</v>
      </c>
      <c r="E22" s="1" t="s">
        <v>38</v>
      </c>
      <c r="F22" s="1" t="s">
        <v>54</v>
      </c>
    </row>
    <row r="23" spans="1:6" x14ac:dyDescent="0.35">
      <c r="A23" t="s">
        <v>69</v>
      </c>
      <c r="B23" s="14">
        <f xml:space="preserve"> 1000 * VT^2 * (1 - TOL_VT)^2 / RH / (1 + TOL_RH)</f>
        <v>9.5089108910891076E-3</v>
      </c>
      <c r="C23" s="14">
        <f xml:space="preserve"> 1000 * VT^2 / RH</f>
        <v>0.01</v>
      </c>
      <c r="D23" s="14">
        <f xml:space="preserve"> 1000 * VT^2 * (1 + TOL_VT)^2 / RH / (1 - TOL_RH)</f>
        <v>1.0509090909090909E-2</v>
      </c>
      <c r="E23" s="1" t="s">
        <v>38</v>
      </c>
      <c r="F23" s="1" t="s">
        <v>54</v>
      </c>
    </row>
    <row r="26" spans="1:6" x14ac:dyDescent="0.35">
      <c r="A26" t="s">
        <v>48</v>
      </c>
    </row>
  </sheetData>
  <sheetProtection sheet="1" objects="1" scenarios="1"/>
  <mergeCells count="2">
    <mergeCell ref="A1:F1"/>
    <mergeCell ref="A3:F3"/>
  </mergeCells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938861-0D01-4FA3-8C31-15BAFE663BC6}">
  <dimension ref="A1:F25"/>
  <sheetViews>
    <sheetView workbookViewId="0">
      <selection activeCell="A3" sqref="A3:F3"/>
    </sheetView>
  </sheetViews>
  <sheetFormatPr defaultRowHeight="14.5" x14ac:dyDescent="0.35"/>
  <cols>
    <col min="1" max="1" width="31.7265625" customWidth="1"/>
    <col min="2" max="2" width="11.1796875" customWidth="1"/>
    <col min="3" max="3" width="9.6328125" customWidth="1"/>
    <col min="4" max="4" width="12.1796875" bestFit="1" customWidth="1"/>
    <col min="5" max="5" width="4.36328125" bestFit="1" customWidth="1"/>
    <col min="6" max="6" width="42.26953125" customWidth="1"/>
  </cols>
  <sheetData>
    <row r="1" spans="1:6" x14ac:dyDescent="0.35">
      <c r="A1" s="24" t="s">
        <v>80</v>
      </c>
      <c r="B1" s="24"/>
      <c r="C1" s="24"/>
      <c r="D1" s="24"/>
      <c r="E1" s="24"/>
      <c r="F1" s="24"/>
    </row>
    <row r="3" spans="1:6" x14ac:dyDescent="0.35">
      <c r="A3" s="24" t="s">
        <v>74</v>
      </c>
      <c r="B3" s="24"/>
      <c r="C3" s="24"/>
      <c r="D3" s="24"/>
      <c r="E3" s="24"/>
      <c r="F3" s="24"/>
    </row>
    <row r="4" spans="1:6" x14ac:dyDescent="0.35">
      <c r="A4" s="3" t="s">
        <v>19</v>
      </c>
      <c r="B4" s="4" t="s">
        <v>0</v>
      </c>
      <c r="C4" s="3" t="s">
        <v>5</v>
      </c>
      <c r="D4" s="3" t="s">
        <v>3</v>
      </c>
      <c r="E4" s="3" t="s">
        <v>5</v>
      </c>
      <c r="F4" s="3" t="s">
        <v>18</v>
      </c>
    </row>
    <row r="5" spans="1:6" x14ac:dyDescent="0.35">
      <c r="A5" t="s">
        <v>16</v>
      </c>
      <c r="B5" s="7">
        <v>10000</v>
      </c>
      <c r="C5" s="1" t="s">
        <v>6</v>
      </c>
      <c r="D5" s="9">
        <v>0.01</v>
      </c>
      <c r="E5" s="20" t="s">
        <v>33</v>
      </c>
    </row>
    <row r="6" spans="1:6" x14ac:dyDescent="0.35">
      <c r="A6" t="s">
        <v>17</v>
      </c>
      <c r="B6" s="7">
        <v>1000</v>
      </c>
      <c r="C6" s="1" t="s">
        <v>6</v>
      </c>
      <c r="D6" s="10">
        <v>0.01</v>
      </c>
      <c r="E6" s="21" t="s">
        <v>33</v>
      </c>
    </row>
    <row r="7" spans="1:6" x14ac:dyDescent="0.35">
      <c r="A7" t="s">
        <v>72</v>
      </c>
      <c r="B7" s="7">
        <v>10</v>
      </c>
      <c r="C7" s="1" t="s">
        <v>8</v>
      </c>
      <c r="D7" s="10">
        <v>0.05</v>
      </c>
      <c r="E7" s="21" t="s">
        <v>33</v>
      </c>
    </row>
    <row r="8" spans="1:6" x14ac:dyDescent="0.35">
      <c r="A8" t="s">
        <v>2</v>
      </c>
      <c r="B8" s="8">
        <v>1</v>
      </c>
      <c r="C8" s="1" t="s">
        <v>7</v>
      </c>
      <c r="D8" s="22">
        <v>0.02</v>
      </c>
      <c r="E8" s="21" t="s">
        <v>33</v>
      </c>
      <c r="F8" t="s">
        <v>30</v>
      </c>
    </row>
    <row r="9" spans="1:6" x14ac:dyDescent="0.35">
      <c r="A9" t="s">
        <v>14</v>
      </c>
      <c r="B9" s="8">
        <v>0.1</v>
      </c>
      <c r="C9" s="1" t="s">
        <v>8</v>
      </c>
      <c r="D9" s="19" t="s">
        <v>4</v>
      </c>
      <c r="E9" s="17"/>
      <c r="F9" t="s">
        <v>39</v>
      </c>
    </row>
    <row r="11" spans="1:6" x14ac:dyDescent="0.35">
      <c r="A11" s="3" t="s">
        <v>15</v>
      </c>
      <c r="B11" s="5" t="s">
        <v>10</v>
      </c>
      <c r="C11" s="5" t="s">
        <v>11</v>
      </c>
      <c r="D11" s="5" t="s">
        <v>12</v>
      </c>
      <c r="E11" s="3" t="s">
        <v>5</v>
      </c>
      <c r="F11" s="3" t="s">
        <v>18</v>
      </c>
    </row>
    <row r="12" spans="1:6" x14ac:dyDescent="0.35">
      <c r="A12" t="s">
        <v>26</v>
      </c>
      <c r="B12" s="11">
        <f xml:space="preserve"> VT * (1 - TOL_VT) * (1 + RT * (1 - TOL_RT)/RB/(1 + TOL_RB))  +  0.000001 * (IHYS * (1 - TOL_IH) - ILK) * RT * (1 - TOL_RT)</f>
        <v>10.679000594059405</v>
      </c>
      <c r="C12" s="11">
        <f xml:space="preserve"> VT * (1 + RT/RB)  +  0.000001 * IHYS * RT</f>
        <v>11.1</v>
      </c>
      <c r="D12" s="11">
        <f xml:space="preserve"> VT * (1 + TOL_VT) * (1 + RT * (1 + TOL_RT)/RB/(1 - TOL_RB))  +  0.000001 * (IHYS * (1 + TOL_IH) + ILK) * RT * (1 + TOL_RT)</f>
        <v>11.533120606060606</v>
      </c>
      <c r="E12" s="1" t="s">
        <v>7</v>
      </c>
      <c r="F12" s="1"/>
    </row>
    <row r="13" spans="1:6" x14ac:dyDescent="0.35">
      <c r="A13" t="s">
        <v>66</v>
      </c>
      <c r="B13" s="13">
        <f xml:space="preserve"> B12/C12 - 1</f>
        <v>-3.7927874409062645E-2</v>
      </c>
      <c r="C13" s="11" t="s">
        <v>34</v>
      </c>
      <c r="D13" s="13">
        <f xml:space="preserve"> D12/C12 - 1</f>
        <v>3.9019874419874423E-2</v>
      </c>
      <c r="E13" s="1" t="s">
        <v>33</v>
      </c>
      <c r="F13" s="1" t="s">
        <v>51</v>
      </c>
    </row>
    <row r="14" spans="1:6" x14ac:dyDescent="0.35">
      <c r="A14" t="s">
        <v>27</v>
      </c>
      <c r="B14" s="11">
        <f xml:space="preserve"> VT * (1 - TOL_VT)  *  (RB * (1 + TOL_RB)  +  RT * (1 - TOL_RT))/(RB * (1 + TOL_RB))  -   ILK * 0.000001 * RT * (1 - TOL_RT)</f>
        <v>10.584950594059405</v>
      </c>
      <c r="C14" s="11">
        <f xml:space="preserve"> VT * (RB + RT) / RB</f>
        <v>11</v>
      </c>
      <c r="D14" s="11">
        <f xml:space="preserve"> VT * (1 + TOL_VT)  *  (RB * (1 - TOL_RB)  +  RT * (1 + TOL_RT))/(RB * (1 - TOL_RB))  +   ILK * 0.000001 * RT * (1 + TOL_RT)</f>
        <v>11.427070606060608</v>
      </c>
      <c r="E14" s="1" t="s">
        <v>7</v>
      </c>
      <c r="F14" s="1"/>
    </row>
    <row r="15" spans="1:6" x14ac:dyDescent="0.35">
      <c r="A15" t="s">
        <v>67</v>
      </c>
      <c r="B15" s="13">
        <f xml:space="preserve"> B14/C14 - 1</f>
        <v>-3.7731764176417659E-2</v>
      </c>
      <c r="C15" s="11" t="s">
        <v>34</v>
      </c>
      <c r="D15" s="13">
        <f xml:space="preserve"> D14/C14 - 1</f>
        <v>3.8824600550964483E-2</v>
      </c>
      <c r="E15" s="1" t="s">
        <v>33</v>
      </c>
      <c r="F15" s="1" t="s">
        <v>51</v>
      </c>
    </row>
    <row r="16" spans="1:6" x14ac:dyDescent="0.35">
      <c r="A16" t="s">
        <v>31</v>
      </c>
      <c r="B16" s="11">
        <f xml:space="preserve"> B12 - B14</f>
        <v>9.4049999999999301E-2</v>
      </c>
      <c r="C16" s="11">
        <f xml:space="preserve"> C12 - C14</f>
        <v>9.9999999999999645E-2</v>
      </c>
      <c r="D16" s="11">
        <f xml:space="preserve"> D12 - D14</f>
        <v>0.10604999999999798</v>
      </c>
      <c r="E16" s="1" t="s">
        <v>7</v>
      </c>
      <c r="F16" s="1"/>
    </row>
    <row r="17" spans="1:6" x14ac:dyDescent="0.35">
      <c r="A17" t="s">
        <v>68</v>
      </c>
      <c r="B17" s="13">
        <f xml:space="preserve"> B16/C16 - 1</f>
        <v>-5.9500000000003661E-2</v>
      </c>
      <c r="C17" s="11" t="s">
        <v>34</v>
      </c>
      <c r="D17" s="13">
        <f xml:space="preserve"> D16/C16 - 1</f>
        <v>6.0499999999983567E-2</v>
      </c>
      <c r="E17" s="1" t="s">
        <v>33</v>
      </c>
      <c r="F17" s="1" t="s">
        <v>62</v>
      </c>
    </row>
    <row r="18" spans="1:6" x14ac:dyDescent="0.35">
      <c r="B18" s="11"/>
      <c r="C18" s="11"/>
      <c r="D18" s="11"/>
      <c r="E18" s="1"/>
      <c r="F18" s="1"/>
    </row>
    <row r="19" spans="1:6" x14ac:dyDescent="0.35">
      <c r="A19" t="s">
        <v>28</v>
      </c>
      <c r="B19" s="12">
        <f xml:space="preserve"> 1000000 * VT * (1 - TOL_VT)/RB/(1 + TOL_RB)  +  IHYS * (1 - TOL_IH)  -  ILK</f>
        <v>979.69702970297021</v>
      </c>
      <c r="C19" s="12">
        <f xml:space="preserve"> 1000000 * VT/RB + IHYS</f>
        <v>1010</v>
      </c>
      <c r="D19" s="12">
        <f xml:space="preserve"> 1000000 * VT * (1 + TOL_VT)/RB/(1 - TOL_RB)  +  IHYS * (1 + TOL_IH)  +  ILK</f>
        <v>1040.9030303030302</v>
      </c>
      <c r="E19" s="1" t="s">
        <v>8</v>
      </c>
      <c r="F19" s="1" t="s">
        <v>53</v>
      </c>
    </row>
    <row r="20" spans="1:6" x14ac:dyDescent="0.35">
      <c r="A20" t="s">
        <v>29</v>
      </c>
      <c r="B20" s="12">
        <f xml:space="preserve"> 1000000 * VT * (1 - TOL_VT)/RB/(1 + TOL_RB) - ILK</f>
        <v>970.19702970297021</v>
      </c>
      <c r="C20" s="12">
        <f xml:space="preserve"> 1000000 * VT / RB</f>
        <v>1000</v>
      </c>
      <c r="D20" s="12">
        <f xml:space="preserve"> 1000000 * VT * (1 + TOL_VT)/RB/(1 - TOL_RB) + ILK</f>
        <v>1030.4030303030302</v>
      </c>
      <c r="E20" s="1" t="s">
        <v>8</v>
      </c>
      <c r="F20" s="1" t="s">
        <v>53</v>
      </c>
    </row>
    <row r="21" spans="1:6" x14ac:dyDescent="0.35">
      <c r="A21" t="s">
        <v>73</v>
      </c>
      <c r="B21" s="14">
        <f xml:space="preserve"> 0.000000001 * B19^2 * RT * (1 - TOL_RT)</f>
        <v>9.5020820730873439</v>
      </c>
      <c r="C21" s="14">
        <f xml:space="preserve"> 0.000000001 * C19^2 * RT</f>
        <v>10.201000000000001</v>
      </c>
      <c r="D21" s="14">
        <f xml:space="preserve"> 0.000000001 * D19^2 * RT * (1 + TOL_RT)</f>
        <v>10.943139096789714</v>
      </c>
      <c r="E21" s="1" t="s">
        <v>38</v>
      </c>
      <c r="F21" s="1" t="s">
        <v>54</v>
      </c>
    </row>
    <row r="22" spans="1:6" x14ac:dyDescent="0.35">
      <c r="A22" t="s">
        <v>65</v>
      </c>
      <c r="B22" s="14">
        <f xml:space="preserve"> 1000 * VT^2 * (1 - TOL_VT)^2 / RB / (1 + TOL_RB)</f>
        <v>0.95089108910891074</v>
      </c>
      <c r="C22" s="14">
        <f xml:space="preserve"> 1000 * VT^2 / RB</f>
        <v>1</v>
      </c>
      <c r="D22" s="14">
        <f xml:space="preserve"> 1000 * VT^2 * (1 + TOL_VT)^2 / RB / (1 - TOL_RB)</f>
        <v>1.050909090909091</v>
      </c>
      <c r="E22" s="1" t="s">
        <v>38</v>
      </c>
      <c r="F22" s="1" t="s">
        <v>54</v>
      </c>
    </row>
    <row r="25" spans="1:6" x14ac:dyDescent="0.35">
      <c r="A25" t="s">
        <v>48</v>
      </c>
    </row>
  </sheetData>
  <sheetProtection sheet="1" objects="1" scenarios="1"/>
  <mergeCells count="2">
    <mergeCell ref="A1:F1"/>
    <mergeCell ref="A3:F3"/>
  </mergeCells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A976AF-6FFE-4CDF-A5B2-888C9CBA4236}">
  <dimension ref="A1:F26"/>
  <sheetViews>
    <sheetView workbookViewId="0">
      <selection activeCell="A3" sqref="A3:F3"/>
    </sheetView>
  </sheetViews>
  <sheetFormatPr defaultRowHeight="14.5" x14ac:dyDescent="0.35"/>
  <cols>
    <col min="1" max="1" width="31.7265625" customWidth="1"/>
    <col min="2" max="2" width="11.1796875" customWidth="1"/>
    <col min="3" max="3" width="9.6328125" customWidth="1"/>
    <col min="4" max="4" width="12.1796875" bestFit="1" customWidth="1"/>
    <col min="5" max="5" width="4.36328125" bestFit="1" customWidth="1"/>
    <col min="6" max="6" width="42.26953125" customWidth="1"/>
  </cols>
  <sheetData>
    <row r="1" spans="1:6" x14ac:dyDescent="0.35">
      <c r="A1" s="24" t="s">
        <v>80</v>
      </c>
      <c r="B1" s="24"/>
      <c r="C1" s="24"/>
      <c r="D1" s="24"/>
      <c r="E1" s="24"/>
      <c r="F1" s="24"/>
    </row>
    <row r="3" spans="1:6" x14ac:dyDescent="0.35">
      <c r="A3" s="24" t="s">
        <v>71</v>
      </c>
      <c r="B3" s="24"/>
      <c r="C3" s="24"/>
      <c r="D3" s="24"/>
      <c r="E3" s="24"/>
      <c r="F3" s="24"/>
    </row>
    <row r="4" spans="1:6" x14ac:dyDescent="0.35">
      <c r="A4" s="3" t="s">
        <v>19</v>
      </c>
      <c r="B4" s="4" t="s">
        <v>0</v>
      </c>
      <c r="C4" s="3" t="s">
        <v>5</v>
      </c>
      <c r="D4" s="3" t="s">
        <v>3</v>
      </c>
      <c r="E4" s="3" t="s">
        <v>5</v>
      </c>
      <c r="F4" s="3" t="s">
        <v>18</v>
      </c>
    </row>
    <row r="5" spans="1:6" x14ac:dyDescent="0.35">
      <c r="A5" t="s">
        <v>16</v>
      </c>
      <c r="B5" s="7">
        <v>10000</v>
      </c>
      <c r="C5" s="1" t="s">
        <v>6</v>
      </c>
      <c r="D5" s="9">
        <v>0.01</v>
      </c>
      <c r="E5" s="20" t="s">
        <v>33</v>
      </c>
    </row>
    <row r="6" spans="1:6" x14ac:dyDescent="0.35">
      <c r="A6" t="s">
        <v>17</v>
      </c>
      <c r="B6" s="7">
        <v>1000</v>
      </c>
      <c r="C6" s="1" t="s">
        <v>6</v>
      </c>
      <c r="D6" s="10">
        <v>0.01</v>
      </c>
      <c r="E6" s="21" t="s">
        <v>33</v>
      </c>
    </row>
    <row r="7" spans="1:6" x14ac:dyDescent="0.35">
      <c r="A7" t="s">
        <v>25</v>
      </c>
      <c r="B7" s="7">
        <v>100</v>
      </c>
      <c r="C7" s="1" t="s">
        <v>6</v>
      </c>
      <c r="D7" s="10">
        <v>0.01</v>
      </c>
      <c r="E7" s="21" t="s">
        <v>33</v>
      </c>
    </row>
    <row r="8" spans="1:6" x14ac:dyDescent="0.35">
      <c r="A8" t="s">
        <v>2</v>
      </c>
      <c r="B8" s="8">
        <v>1</v>
      </c>
      <c r="C8" s="1" t="s">
        <v>7</v>
      </c>
      <c r="D8" s="22">
        <v>0.02</v>
      </c>
      <c r="E8" s="21" t="s">
        <v>33</v>
      </c>
      <c r="F8" t="s">
        <v>30</v>
      </c>
    </row>
    <row r="9" spans="1:6" x14ac:dyDescent="0.35">
      <c r="A9" t="s">
        <v>14</v>
      </c>
      <c r="B9" s="8">
        <v>1</v>
      </c>
      <c r="C9" s="1" t="s">
        <v>8</v>
      </c>
      <c r="D9" s="19" t="s">
        <v>4</v>
      </c>
      <c r="E9" s="17"/>
      <c r="F9" t="s">
        <v>39</v>
      </c>
    </row>
    <row r="11" spans="1:6" x14ac:dyDescent="0.35">
      <c r="A11" s="3" t="s">
        <v>15</v>
      </c>
      <c r="B11" s="5" t="s">
        <v>10</v>
      </c>
      <c r="C11" s="5" t="s">
        <v>11</v>
      </c>
      <c r="D11" s="5" t="s">
        <v>12</v>
      </c>
      <c r="E11" s="3" t="s">
        <v>5</v>
      </c>
      <c r="F11" s="3" t="s">
        <v>18</v>
      </c>
    </row>
    <row r="12" spans="1:6" x14ac:dyDescent="0.35">
      <c r="A12" t="s">
        <v>26</v>
      </c>
      <c r="B12" s="11">
        <f xml:space="preserve"> VT * (1 - TOL_VT)  *  (RB * (1 + TOL_RB)  +  RT * (1 - TOL_RT))/(RB * (1 + TOL_RB))  -   ILK * 0.000001 * RT * (1 - TOL_RT)</f>
        <v>10.576040594059405</v>
      </c>
      <c r="C12" s="11">
        <f xml:space="preserve"> VT * (RB + RT) / RB</f>
        <v>11</v>
      </c>
      <c r="D12" s="11">
        <f xml:space="preserve"> VT * (1 + TOL_VT)  *  (RB * (1 - TOL_RB)  +  RT * (1 + TOL_RT))/(RB * (1 - TOL_RB))  +   ILK * 0.000001 * RT * (1 + TOL_RT)</f>
        <v>11.436160606060607</v>
      </c>
      <c r="E12" s="1" t="s">
        <v>7</v>
      </c>
      <c r="F12" s="1"/>
    </row>
    <row r="13" spans="1:6" x14ac:dyDescent="0.35">
      <c r="A13" t="s">
        <v>66</v>
      </c>
      <c r="B13" s="13">
        <f xml:space="preserve"> B12/C12 - 1</f>
        <v>-3.8541764176417748E-2</v>
      </c>
      <c r="C13" s="11" t="s">
        <v>34</v>
      </c>
      <c r="D13" s="13">
        <f xml:space="preserve"> D12/C12 - 1</f>
        <v>3.9650964187327942E-2</v>
      </c>
      <c r="E13" s="1" t="s">
        <v>33</v>
      </c>
      <c r="F13" s="1" t="s">
        <v>51</v>
      </c>
    </row>
    <row r="14" spans="1:6" x14ac:dyDescent="0.35">
      <c r="A14" t="s">
        <v>27</v>
      </c>
      <c r="B14" s="11">
        <f xml:space="preserve"> VT * (1 - TOL_VT) * (1  +  RT * (1 - TOL_RT)/ (RH * (1 + TOL_RH) + RB * (1 + TOL_RB)))  -  ILK * 0.000001 * RT * (1 - TOL_RT)</f>
        <v>9.7027732673267337</v>
      </c>
      <c r="C14" s="11">
        <f xml:space="preserve"> VT * (RH + RB + RT) / (RH + RB)</f>
        <v>10.090909090909092</v>
      </c>
      <c r="D14" s="11">
        <f xml:space="preserve"> VT * (1 + TOL_VT) * (1  +  RT * (1 + TOL_RT)/ (RH * (1 - TOL_RH) + RB * (1 - TOL_RB)))  +   ILK * 0.000001 * RT * (1 + TOL_RT)</f>
        <v>10.490155096418732</v>
      </c>
      <c r="E14" s="1" t="s">
        <v>7</v>
      </c>
      <c r="F14" s="1"/>
    </row>
    <row r="15" spans="1:6" x14ac:dyDescent="0.35">
      <c r="A15" t="s">
        <v>67</v>
      </c>
      <c r="B15" s="13">
        <f xml:space="preserve"> B14/C14 - 1</f>
        <v>-3.8463910445098559E-2</v>
      </c>
      <c r="C15" s="11" t="s">
        <v>34</v>
      </c>
      <c r="D15" s="13">
        <f xml:space="preserve"> D14/C14 - 1</f>
        <v>3.9564919464919246E-2</v>
      </c>
      <c r="E15" s="1" t="s">
        <v>33</v>
      </c>
      <c r="F15" s="1" t="s">
        <v>51</v>
      </c>
    </row>
    <row r="16" spans="1:6" x14ac:dyDescent="0.35">
      <c r="A16" t="s">
        <v>31</v>
      </c>
      <c r="B16" s="11">
        <f xml:space="preserve"> VT * (1 - TOL_VT) * RT * (1 - TOL_RT) * RH * (1 - TOL_RH)/RB/(1 + TOL_RB)/(RB * (1 + TOL_RB)  +  RH * (1 - TOL_RH))</f>
        <v>0.85751859225597948</v>
      </c>
      <c r="C16" s="11">
        <f xml:space="preserve"> VT * RT * RH/RB/(RB + RH)</f>
        <v>0.90909090909090906</v>
      </c>
      <c r="D16" s="11">
        <f xml:space="preserve"> VT * (1 + TOL_VT) * RT * (1 + TOL_RT) * RH * (1 + TOL_RH)/RB/(1 - TOL_RB)/(RB * (1 - TOL_RB)  +  RH * (1 + TOL_RH))</f>
        <v>0.96334749881954285</v>
      </c>
      <c r="E16" s="1" t="s">
        <v>7</v>
      </c>
      <c r="F16" s="1"/>
    </row>
    <row r="17" spans="1:6" x14ac:dyDescent="0.35">
      <c r="A17" t="s">
        <v>68</v>
      </c>
      <c r="B17" s="13">
        <f xml:space="preserve"> B16/C16 - 1</f>
        <v>-5.672954851842249E-2</v>
      </c>
      <c r="C17" s="11" t="s">
        <v>34</v>
      </c>
      <c r="D17" s="13">
        <f xml:space="preserve"> D16/C16 - 1</f>
        <v>5.9682248701497187E-2</v>
      </c>
      <c r="E17" s="1" t="s">
        <v>33</v>
      </c>
      <c r="F17" s="1" t="s">
        <v>62</v>
      </c>
    </row>
    <row r="18" spans="1:6" x14ac:dyDescent="0.35">
      <c r="B18" s="11"/>
      <c r="C18" s="11"/>
      <c r="D18" s="11"/>
      <c r="E18" s="1"/>
      <c r="F18" s="1"/>
    </row>
    <row r="19" spans="1:6" x14ac:dyDescent="0.35">
      <c r="A19" t="s">
        <v>28</v>
      </c>
      <c r="B19" s="12">
        <f xml:space="preserve"> 1000000 * VT * (1 - TOL_VT) / RB / (1 + TOL_RB) - ILK</f>
        <v>969.29702970297024</v>
      </c>
      <c r="C19" s="12">
        <f xml:space="preserve"> 1000000 * VT / RB</f>
        <v>1000</v>
      </c>
      <c r="D19" s="12">
        <f xml:space="preserve"> 1000000 * VT * (1 + TOL_VT) / RB / (1 - TOL_RB) + ILK</f>
        <v>1031.3030303030303</v>
      </c>
      <c r="E19" s="1" t="s">
        <v>8</v>
      </c>
      <c r="F19" s="1" t="s">
        <v>53</v>
      </c>
    </row>
    <row r="20" spans="1:6" x14ac:dyDescent="0.35">
      <c r="A20" t="s">
        <v>29</v>
      </c>
      <c r="B20" s="12">
        <f xml:space="preserve"> 1000000 * VT * (1 - TOL_VT) /(RB * (1 + TOL_RB) + RH * (1 + TOL_RH))  -  ILK</f>
        <v>881.08820882088207</v>
      </c>
      <c r="C20" s="12">
        <f xml:space="preserve"> 1000000 * VT /(RH + RB)</f>
        <v>909.09090909090912</v>
      </c>
      <c r="D20" s="12">
        <f xml:space="preserve"> 1000000 * VT * (1 + TOL_VT) /(RB * (1 - TOL_RB) + RH * (1 - TOL_RH))  +  ILK</f>
        <v>937.63911845730024</v>
      </c>
      <c r="E20" s="1" t="s">
        <v>8</v>
      </c>
      <c r="F20" s="1" t="s">
        <v>53</v>
      </c>
    </row>
    <row r="21" spans="1:6" x14ac:dyDescent="0.35">
      <c r="A21" t="s">
        <v>73</v>
      </c>
      <c r="B21" s="14">
        <f xml:space="preserve"> 1000 * (VT * (1 - TOL_VT)/RB/(1 + TOL_RB)  -  0.000001 *ILK)^2 * RT * (1 - TOL_RT)</f>
        <v>9.301413644730907</v>
      </c>
      <c r="C21" s="14">
        <f xml:space="preserve"> 1000 * (VT/RB)^2 * RT</f>
        <v>10</v>
      </c>
      <c r="D21" s="14">
        <f xml:space="preserve"> 1000 * (VT * (1 + TOL_VT)/RB/(1 - TOL_RB)  +  0.000001 *ILK)^2 * RT * (1 + TOL_RT)</f>
        <v>10.742217997153354</v>
      </c>
      <c r="E21" s="1" t="s">
        <v>38</v>
      </c>
      <c r="F21" s="1" t="s">
        <v>54</v>
      </c>
    </row>
    <row r="22" spans="1:6" x14ac:dyDescent="0.35">
      <c r="A22" t="s">
        <v>63</v>
      </c>
      <c r="B22" s="14">
        <f xml:space="preserve"> 1000 * VT^2 * (1 - TOL_VT)^2 / RB / (1 + TOL_RB)</f>
        <v>0.95089108910891074</v>
      </c>
      <c r="C22" s="14">
        <f xml:space="preserve"> 1000 * VT^2 / RB</f>
        <v>1</v>
      </c>
      <c r="D22" s="14">
        <f xml:space="preserve"> 1000 * VT^2 * (1 + TOL_VT)^2 / RB / (1 - TOL_RB)</f>
        <v>1.050909090909091</v>
      </c>
      <c r="E22" s="1" t="s">
        <v>38</v>
      </c>
      <c r="F22" s="1" t="s">
        <v>54</v>
      </c>
    </row>
    <row r="23" spans="1:6" x14ac:dyDescent="0.35">
      <c r="A23" t="s">
        <v>64</v>
      </c>
      <c r="B23" s="14">
        <f xml:space="preserve"> 1000 * RH * (1 - TOL_RH) * VT^2 * (1 - TOL_VT)^2/(RH * (1 - TOL_RH)  +  RB * (1 + TOL_RB))^2</f>
        <v>7.7307967193574009E-2</v>
      </c>
      <c r="C23" s="14">
        <f xml:space="preserve"> 1000 * RH * VT^2 /(RH + RB)^2</f>
        <v>8.2644628099173556E-2</v>
      </c>
      <c r="D23" s="14">
        <f xml:space="preserve"> 1000 * RH * (1 + TOL_RH) * VT^2 * (1 + TOL_VT)^2/(RH * (1 + TOL_RH)  +  RB * (1 - TOL_RB))^2</f>
        <v>8.8282010718477397E-2</v>
      </c>
      <c r="E23" s="1" t="s">
        <v>38</v>
      </c>
      <c r="F23" s="1" t="s">
        <v>54</v>
      </c>
    </row>
    <row r="26" spans="1:6" x14ac:dyDescent="0.35">
      <c r="A26" t="s">
        <v>48</v>
      </c>
    </row>
  </sheetData>
  <sheetProtection sheet="1" objects="1" scenarios="1"/>
  <mergeCells count="2">
    <mergeCell ref="A1:F1"/>
    <mergeCell ref="A3:F3"/>
  </mergeCell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2A4AA8AEEDD4782D72FF18193D1DF" ma:contentTypeVersion="13" ma:contentTypeDescription="Create a new document." ma:contentTypeScope="" ma:versionID="be0f5f544bf3ef9ed7c048ddbed457d7">
  <xsd:schema xmlns:xsd="http://www.w3.org/2001/XMLSchema" xmlns:xs="http://www.w3.org/2001/XMLSchema" xmlns:p="http://schemas.microsoft.com/office/2006/metadata/properties" xmlns:ns3="e4d9a75d-246b-4cd3-b352-bdf3600eacbf" xmlns:ns4="63202823-e46d-4e6c-90b6-8692cf1d66c8" targetNamespace="http://schemas.microsoft.com/office/2006/metadata/properties" ma:root="true" ma:fieldsID="98b87250a3414e5ffa8a0ad149537cca" ns3:_="" ns4:_="">
    <xsd:import namespace="e4d9a75d-246b-4cd3-b352-bdf3600eacbf"/>
    <xsd:import namespace="63202823-e46d-4e6c-90b6-8692cf1d66c8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d9a75d-246b-4cd3-b352-bdf3600eacb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description="" ma:internalName="MediaServiceAutoTags" ma:readOnly="true">
      <xsd:simpleType>
        <xsd:restriction base="dms:Text"/>
      </xsd:simpleType>
    </xsd:element>
    <xsd:element name="MediaServiceLocation" ma:index="12" nillable="true" ma:displayName="MediaServiceLocation" ma:description="" ma:internalName="MediaServiceLocation" ma:readOnly="true">
      <xsd:simpleType>
        <xsd:restriction base="dms:Text"/>
      </xsd:simpleType>
    </xsd:element>
    <xsd:element name="MediaServiceOCR" ma:index="13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202823-e46d-4e6c-90b6-8692cf1d66c8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C14E493-C6E5-440E-AE1A-6D65F9DDB25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4d9a75d-246b-4cd3-b352-bdf3600eacbf"/>
    <ds:schemaRef ds:uri="63202823-e46d-4e6c-90b6-8692cf1d66c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6D757E3-F6BE-48EB-8CF2-89546790E35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1179A694-3953-45D4-A848-03F2AC972D0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52</vt:i4>
      </vt:variant>
    </vt:vector>
  </HeadingPairs>
  <TitlesOfParts>
    <vt:vector size="59" baseType="lpstr">
      <vt:lpstr>Preface</vt:lpstr>
      <vt:lpstr>1-2RDiv</vt:lpstr>
      <vt:lpstr>2-3RDiv</vt:lpstr>
      <vt:lpstr>3-HystOutRes</vt:lpstr>
      <vt:lpstr>4a-HystShuntRes</vt:lpstr>
      <vt:lpstr>4a-HystCurr</vt:lpstr>
      <vt:lpstr>4b-SeriesHystRes</vt:lpstr>
      <vt:lpstr>'4a-HystCurr'!IHYS</vt:lpstr>
      <vt:lpstr>'1-2RDiv'!ILK</vt:lpstr>
      <vt:lpstr>'2-3RDiv'!ILK</vt:lpstr>
      <vt:lpstr>'3-HystOutRes'!ILK</vt:lpstr>
      <vt:lpstr>'4a-HystCurr'!ILK</vt:lpstr>
      <vt:lpstr>'4a-HystShuntRes'!ILK</vt:lpstr>
      <vt:lpstr>'4b-SeriesHystRes'!ILK</vt:lpstr>
      <vt:lpstr>'1-2RDiv'!RB</vt:lpstr>
      <vt:lpstr>'2-3RDiv'!RB</vt:lpstr>
      <vt:lpstr>'3-HystOutRes'!RB</vt:lpstr>
      <vt:lpstr>'4a-HystCurr'!RB</vt:lpstr>
      <vt:lpstr>'4a-HystShuntRes'!RB</vt:lpstr>
      <vt:lpstr>'4b-SeriesHystRes'!RB</vt:lpstr>
      <vt:lpstr>'3-HystOutRes'!RH</vt:lpstr>
      <vt:lpstr>'4a-HystShuntRes'!RH</vt:lpstr>
      <vt:lpstr>'4b-SeriesHystRes'!RH</vt:lpstr>
      <vt:lpstr>'2-3RDiv'!RM</vt:lpstr>
      <vt:lpstr>'1-2RDiv'!RT</vt:lpstr>
      <vt:lpstr>'2-3RDiv'!RT</vt:lpstr>
      <vt:lpstr>'3-HystOutRes'!RT</vt:lpstr>
      <vt:lpstr>'4a-HystCurr'!RT</vt:lpstr>
      <vt:lpstr>'4a-HystShuntRes'!RT</vt:lpstr>
      <vt:lpstr>'4b-SeriesHystRes'!RT</vt:lpstr>
      <vt:lpstr>'4a-HystCurr'!TOL_IH</vt:lpstr>
      <vt:lpstr>'1-2RDiv'!TOL_RB</vt:lpstr>
      <vt:lpstr>'2-3RDiv'!TOL_RB</vt:lpstr>
      <vt:lpstr>'3-HystOutRes'!TOL_RB</vt:lpstr>
      <vt:lpstr>'4a-HystCurr'!TOL_RB</vt:lpstr>
      <vt:lpstr>'4a-HystShuntRes'!TOL_RB</vt:lpstr>
      <vt:lpstr>'4b-SeriesHystRes'!TOL_RB</vt:lpstr>
      <vt:lpstr>'3-HystOutRes'!TOL_RH</vt:lpstr>
      <vt:lpstr>'4a-HystShuntRes'!TOL_RH</vt:lpstr>
      <vt:lpstr>'4b-SeriesHystRes'!TOL_RH</vt:lpstr>
      <vt:lpstr>TOL_RM</vt:lpstr>
      <vt:lpstr>'1-2RDiv'!TOL_RT</vt:lpstr>
      <vt:lpstr>'2-3RDiv'!TOL_RT</vt:lpstr>
      <vt:lpstr>'3-HystOutRes'!TOL_RT</vt:lpstr>
      <vt:lpstr>'4a-HystCurr'!TOL_RT</vt:lpstr>
      <vt:lpstr>'4a-HystShuntRes'!TOL_RT</vt:lpstr>
      <vt:lpstr>'4b-SeriesHystRes'!TOL_RT</vt:lpstr>
      <vt:lpstr>'1-2RDiv'!TOL_VT</vt:lpstr>
      <vt:lpstr>'2-3RDiv'!TOL_VT</vt:lpstr>
      <vt:lpstr>'3-HystOutRes'!TOL_VT</vt:lpstr>
      <vt:lpstr>'4a-HystCurr'!TOL_VT</vt:lpstr>
      <vt:lpstr>'4a-HystShuntRes'!TOL_VT</vt:lpstr>
      <vt:lpstr>'4b-SeriesHystRes'!TOL_VT</vt:lpstr>
      <vt:lpstr>'1-2RDiv'!VT</vt:lpstr>
      <vt:lpstr>'2-3RDiv'!VT</vt:lpstr>
      <vt:lpstr>'3-HystOutRes'!VT</vt:lpstr>
      <vt:lpstr>'4a-HystCurr'!VT</vt:lpstr>
      <vt:lpstr>'4a-HystShuntRes'!VT</vt:lpstr>
      <vt:lpstr>'4b-SeriesHystRes'!VT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Sachdev, Pinkesh</dc:creator>
  <cp:lastModifiedBy>Sachdev, Pinkesh</cp:lastModifiedBy>
  <dcterms:created xsi:type="dcterms:W3CDTF">2020-08-31T22:06:28Z</dcterms:created>
  <dcterms:modified xsi:type="dcterms:W3CDTF">2021-01-26T22:01:01Z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0x0101001162A4AA8AEEDD4782D72FF18193D1DF</vt:lpwstr>
  </property>
</Properties>
</file>