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voelker\.atlassian-companion\b7d292e2-5093-472b-bd6e-05f1be2ce80f\"/>
    </mc:Choice>
  </mc:AlternateContent>
  <xr:revisionPtr revIDLastSave="0" documentId="13_ncr:1_{EFC5D98C-2A1A-4E65-8760-9E5479D9B693}" xr6:coauthVersionLast="47" xr6:coauthVersionMax="47" xr10:uidLastSave="{00000000-0000-0000-0000-000000000000}"/>
  <bookViews>
    <workbookView xWindow="-38510" yWindow="-110" windowWidth="38620" windowHeight="21100" xr2:uid="{9E184C6A-2EC8-476E-B671-15A5D2885344}"/>
  </bookViews>
  <sheets>
    <sheet name="Revision History" sheetId="12" r:id="rId1"/>
    <sheet name="Position scaling" sheetId="10" r:id="rId2"/>
    <sheet name="Velocity scaling" sheetId="7" r:id="rId3"/>
    <sheet name="Acceleration scaling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0" l="1"/>
  <c r="B61" i="11"/>
  <c r="B66" i="11"/>
  <c r="B65" i="11"/>
  <c r="B64" i="11"/>
  <c r="B63" i="11"/>
  <c r="B62" i="11"/>
  <c r="B60" i="11"/>
  <c r="B59" i="11"/>
  <c r="B58" i="11"/>
  <c r="B57" i="11"/>
  <c r="B34" i="10"/>
  <c r="B77" i="7"/>
  <c r="B23" i="7"/>
  <c r="B16" i="11" s="1"/>
  <c r="B38" i="11" s="1"/>
  <c r="B50" i="7" l="1"/>
  <c r="B76" i="7"/>
  <c r="B33" i="10" l="1"/>
  <c r="B22" i="10"/>
  <c r="B24" i="10" s="1"/>
  <c r="B23" i="10" l="1"/>
  <c r="B19" i="10"/>
  <c r="B32" i="10"/>
  <c r="B15" i="10"/>
  <c r="B35" i="7"/>
  <c r="B83" i="7" s="1"/>
  <c r="B20" i="7" l="1"/>
  <c r="B47" i="7" s="1"/>
  <c r="B41" i="7" l="1"/>
  <c r="B75" i="7"/>
  <c r="B21" i="7"/>
  <c r="B12" i="7"/>
  <c r="B14" i="7" s="1"/>
  <c r="B67" i="7" l="1"/>
  <c r="B31" i="10" l="1"/>
  <c r="B30" i="10"/>
  <c r="B16" i="10"/>
  <c r="B11" i="10"/>
  <c r="B12" i="10"/>
  <c r="B13" i="11"/>
  <c r="B29" i="11" l="1"/>
  <c r="B35" i="11"/>
  <c r="B73" i="7"/>
  <c r="B22" i="7" l="1"/>
  <c r="B15" i="11" s="1"/>
  <c r="B14" i="11"/>
  <c r="B32" i="11" l="1"/>
  <c r="B44" i="7"/>
  <c r="B13" i="7"/>
  <c r="B31" i="7" s="1"/>
  <c r="B74" i="7"/>
  <c r="B64" i="7" l="1"/>
  <c r="B24" i="11"/>
  <c r="B81" i="7"/>
  <c r="B28" i="7"/>
  <c r="B30" i="7"/>
  <c r="B23" i="11" s="1"/>
  <c r="B29" i="7"/>
  <c r="B22" i="11" s="1"/>
  <c r="B61" i="7" l="1"/>
  <c r="B82" i="7"/>
  <c r="B50" i="11"/>
  <c r="B21" i="11"/>
  <c r="B80" i="7"/>
  <c r="B44" i="11"/>
  <c r="B78" i="7"/>
  <c r="B55" i="7"/>
  <c r="B58" i="7"/>
  <c r="B79" i="7"/>
  <c r="B41" i="11" l="1"/>
  <c r="B47" i="11"/>
</calcChain>
</file>

<file path=xl/sharedStrings.xml><?xml version="1.0" encoding="utf-8"?>
<sst xmlns="http://schemas.openxmlformats.org/spreadsheetml/2006/main" count="290" uniqueCount="138">
  <si>
    <t>System parameter</t>
  </si>
  <si>
    <t>Value</t>
  </si>
  <si>
    <t>Unit</t>
  </si>
  <si>
    <t>Description</t>
  </si>
  <si>
    <t>Register value to real world unit conversion:</t>
  </si>
  <si>
    <t>Real world unit to register value conversion:</t>
  </si>
  <si>
    <t>Motor position</t>
  </si>
  <si>
    <t>Degree</t>
  </si>
  <si>
    <t>Actual motor position in degree</t>
  </si>
  <si>
    <t>rev</t>
  </si>
  <si>
    <t>Actual motor position in revolutions</t>
  </si>
  <si>
    <t>CLK frequency</t>
  </si>
  <si>
    <t>Hz</t>
  </si>
  <si>
    <t>System clock frequency</t>
  </si>
  <si>
    <t>PWM CLK frequency</t>
  </si>
  <si>
    <t>PWM clock frequency</t>
  </si>
  <si>
    <t xml:space="preserve">Active PWM frequency </t>
  </si>
  <si>
    <t>VELOCITY_SCALING</t>
  </si>
  <si>
    <t>Scaling factors for VELOCITY_PER</t>
  </si>
  <si>
    <t>Scaling factors for VELOCITY_FREQ</t>
  </si>
  <si>
    <t>Motor velocity</t>
  </si>
  <si>
    <t>rpm</t>
  </si>
  <si>
    <t>Actual motor velocity in rpm</t>
  </si>
  <si>
    <t>Ramper velocity for open-loop operation</t>
  </si>
  <si>
    <t>Scaling factors from page "Velocity scaling"</t>
  </si>
  <si>
    <t>Ramper acceleration</t>
  </si>
  <si>
    <t>Motor acceleration</t>
  </si>
  <si>
    <t>rev / sec^2</t>
  </si>
  <si>
    <t xml:space="preserve">Actual motor acceleration in revolutions / second^2 </t>
  </si>
  <si>
    <t>Motor acceleration velocity</t>
  </si>
  <si>
    <t>Target velocity for linear ramp with start from 0</t>
  </si>
  <si>
    <t>Motor acceleration time</t>
  </si>
  <si>
    <t>sec</t>
  </si>
  <si>
    <t>Time to reach target velocity with linear ramp</t>
  </si>
  <si>
    <t>Parameter value to real world unit conversion:</t>
  </si>
  <si>
    <t>VELOCITY_LOOP_DOWNSAMPLING (AP 135)</t>
  </si>
  <si>
    <t>rpm2internal (phi_e)</t>
  </si>
  <si>
    <t>rpm2internal  (abn_count)</t>
  </si>
  <si>
    <t>rpm2internal  (hall_count)</t>
  </si>
  <si>
    <t>rpm2internal</t>
  </si>
  <si>
    <t xml:space="preserve">Motor velocity </t>
  </si>
  <si>
    <t>Update rate for FREQUENCY_METER</t>
  </si>
  <si>
    <t>rpm2internal (abn_count)</t>
  </si>
  <si>
    <t>rpm2internal (hall_count)</t>
  </si>
  <si>
    <t>Scaling factors for PERIOD_METER</t>
  </si>
  <si>
    <t>Scaling factors for FREQUENCY_METER</t>
  </si>
  <si>
    <r>
      <t xml:space="preserve">General formula: </t>
    </r>
    <r>
      <rPr>
        <b/>
        <sz val="11"/>
        <color theme="1"/>
        <rFont val="Calibri"/>
        <family val="2"/>
        <scheme val="minor"/>
      </rPr>
      <t>rpm2internal = [position change per mechanical revolution] * 2^24 / clk_freq / 60</t>
    </r>
  </si>
  <si>
    <r>
      <t xml:space="preserve">General formula: </t>
    </r>
    <r>
      <rPr>
        <b/>
        <sz val="11"/>
        <color theme="1"/>
        <rFont val="Calibri"/>
        <family val="2"/>
        <scheme val="minor"/>
      </rPr>
      <t>rpm2internal = [position change per mechanical revolution] * VELOCITY_SCALING / update_rate / 60</t>
    </r>
  </si>
  <si>
    <t>The position change is defined by VELOCITY_SENSOR_SELECTION (see below). The 2^24 factor is an internal scaling</t>
  </si>
  <si>
    <t>The position change is defined by VELOCITY_SENSOR_SELECTION (see below)</t>
  </si>
  <si>
    <t>Update rate for velocity controller and FREQUENCY_METER</t>
  </si>
  <si>
    <t>ACTUAL_VELOCITY  (AP 125) (PERIOD_METER, phi_e)</t>
  </si>
  <si>
    <t>ACTUAL_VELOCITY (AP 125) (PERIOD_METER, abn_count)</t>
  </si>
  <si>
    <t>ACTUAL_VELOCITY (AP 125) (FREQUENCY_METER, phi_e)</t>
  </si>
  <si>
    <t>ACTUAL_VELOCITY (AP 125) (FREQUENCY_METER, abn_count)</t>
  </si>
  <si>
    <t>Number of pole pairs, Scaling factor between mechanical and electrical revolution</t>
  </si>
  <si>
    <t>MOTOR_POLE_PAIRS (AP 1)</t>
  </si>
  <si>
    <t>ABN encoder PPR; Number of AB-encoder pulses per mechanical revolution</t>
  </si>
  <si>
    <t>MOTOR_PWM_FREQUENCY (AP 3)</t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</si>
  <si>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rFont val="Calibri"/>
        <family val="2"/>
        <scheme val="minor"/>
      </rPr>
      <t>SAME_AS_COMMUTATION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</si>
  <si>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DIGITAL_HALL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</si>
  <si>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FREQUENCY_METER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SAME_AS_COMMUTATION</t>
    </r>
  </si>
  <si>
    <r>
      <t>Velocity selection:</t>
    </r>
    <r>
      <rPr>
        <b/>
        <sz val="11"/>
        <color theme="1"/>
        <rFont val="Calibri"/>
        <family val="2"/>
        <scheme val="minor"/>
      </rPr>
      <t xml:space="preserve"> FREQUENCY_METER</t>
    </r>
    <r>
      <rPr>
        <sz val="11"/>
        <color theme="1"/>
        <rFont val="Calibri"/>
        <family val="2"/>
        <scheme val="minor"/>
      </rPr>
      <t xml:space="preserve"> with VELOCITY_SENSOR_SELECTION =</t>
    </r>
    <r>
      <rPr>
        <b/>
        <sz val="11"/>
        <color theme="1"/>
        <rFont val="Calibri"/>
        <family val="2"/>
        <scheme val="minor"/>
      </rPr>
      <t xml:space="preserve"> DIGITAL_HALL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</si>
  <si>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SAME_AS_COMMUTATION</t>
    </r>
  </si>
  <si>
    <t>phi_e: VELOCITY_SENSOR_SELECTION = SAME_AS_COMMUTATION; position change per mechanical revolution: 2^16 * NUM_POLE_PAIRS</t>
  </si>
  <si>
    <t>hall_count: VELOCITY_SENSOR_SELECTION = DIGITAL_HALL; position change per mechanical revolution: 6 * NUM_POLE_PAIRS</t>
  </si>
  <si>
    <r>
      <t xml:space="preserve">POSITION_SENSOR_SELECTION = </t>
    </r>
    <r>
      <rPr>
        <b/>
        <sz val="11"/>
        <color theme="1"/>
        <rFont val="Calibri"/>
        <family val="2"/>
        <scheme val="minor"/>
      </rPr>
      <t>SAME_AS_COMMUTATION</t>
    </r>
  </si>
  <si>
    <r>
      <t xml:space="preserve">POSITION_SENSOR_SELECTION = </t>
    </r>
    <r>
      <rPr>
        <b/>
        <sz val="11"/>
        <color theme="1"/>
        <rFont val="Calibri"/>
        <family val="2"/>
        <scheme val="minor"/>
      </rPr>
      <t>DIGITAL_HALL</t>
    </r>
  </si>
  <si>
    <r>
      <t xml:space="preserve">POSITION_SENSOR_SELECTION = </t>
    </r>
    <r>
      <rPr>
        <b/>
        <sz val="11"/>
        <color theme="1"/>
        <rFont val="Calibri"/>
        <family val="2"/>
        <scheme val="minor"/>
      </rPr>
      <t>SAME_AS_COMMUTATION</t>
    </r>
    <r>
      <rPr>
        <b/>
        <sz val="11"/>
        <color rgb="FFFF0000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</si>
  <si>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SAME_AS_COMMUTATION</t>
    </r>
  </si>
  <si>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DIGITAL_HALL</t>
    </r>
  </si>
  <si>
    <r>
      <rPr>
        <b/>
        <sz val="11"/>
        <color theme="1"/>
        <rFont val="Calibri"/>
        <family val="2"/>
        <scheme val="minor"/>
      </rPr>
      <t>FREQUENCY_METER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SAME_AS_COMMUTATION</t>
    </r>
  </si>
  <si>
    <r>
      <rPr>
        <b/>
        <sz val="11"/>
        <color theme="1"/>
        <rFont val="Calibri"/>
        <family val="2"/>
        <scheme val="minor"/>
      </rPr>
      <t>FREQUENCY_METER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DIGITAL_HALL</t>
    </r>
  </si>
  <si>
    <t>ACTUAL_POSITION (AP 144) (phi_e)</t>
  </si>
  <si>
    <t>ACTUAL_POSITION (AP 144) (abn_count)</t>
  </si>
  <si>
    <t>Real world unit to parameter value conversion:</t>
  </si>
  <si>
    <t>ACTUAL_VELOCITY (AP 125) (PERIOD_METER, phi_e)</t>
  </si>
  <si>
    <t xml:space="preserve">PWM_MAXCNT </t>
  </si>
  <si>
    <t>Internal for PWM frequency calculation</t>
  </si>
  <si>
    <t>Scaling factor for motor velocity when COMMUTATION = FOC_OPENLOOP_VOLTAGE_MODE or FOC_OPENLOOP_CURRENT_MODE for open-loop operation</t>
  </si>
  <si>
    <t>TARGET_VELOCITY (AP 124)</t>
  </si>
  <si>
    <t xml:space="preserve">Internal Scaling factor for FREQUENCY_METER. </t>
  </si>
  <si>
    <r>
      <t xml:space="preserve">Defines update rate for velocity loop </t>
    </r>
    <r>
      <rPr>
        <sz val="11"/>
        <rFont val="Calibri"/>
        <family val="2"/>
        <scheme val="minor"/>
      </rPr>
      <t>FREQUENCY_METER</t>
    </r>
  </si>
  <si>
    <r>
      <t xml:space="preserve">Scaling factor for </t>
    </r>
    <r>
      <rPr>
        <b/>
        <sz val="11"/>
        <rFont val="Calibri"/>
        <family val="2"/>
        <scheme val="minor"/>
      </rPr>
      <t>TARGET_VELOCITY</t>
    </r>
    <r>
      <rPr>
        <b/>
        <sz val="11"/>
        <color theme="1"/>
        <rFont val="Calibri"/>
        <family val="2"/>
        <scheme val="minor"/>
      </rPr>
      <t xml:space="preserve"> for open-loop operation</t>
    </r>
  </si>
  <si>
    <r>
      <t xml:space="preserve">Ramper acceleration is used for </t>
    </r>
    <r>
      <rPr>
        <sz val="11"/>
        <rFont val="Calibri"/>
        <family val="2"/>
        <scheme val="minor"/>
      </rPr>
      <t xml:space="preserve">RAMP_A1, _A2, _A_MAX, _D1, _D2, _D_MAX </t>
    </r>
  </si>
  <si>
    <r>
      <t xml:space="preserve">Formula for internal acceleration scaling: </t>
    </r>
    <r>
      <rPr>
        <b/>
        <sz val="11"/>
        <rFont val="Calibri"/>
        <family val="2"/>
        <scheme val="minor"/>
      </rPr>
      <t>RAMP_A = INTERNAL_VELOCITY * 2^17 / time[sec] / clk_freq</t>
    </r>
  </si>
  <si>
    <t>INTERNAL_VELOCITY: Internal velocity value (scaling depends on selection, see "rpm2internal" factor). 2^17 is an internal scaling factor.</t>
  </si>
  <si>
    <t>RAMP_A: Internal acceleration to accelerate from 0 to INTERNAL_VELOCITY in 'time' seconds</t>
  </si>
  <si>
    <t xml:space="preserve">rpm </t>
  </si>
  <si>
    <t>THIS CODE AND INFORMATION IS PROVIDED "AS IS" WITHOUT WARRANTY OF ANY  KIND, EITHER EXPRESSED OR IMPLIED.</t>
  </si>
  <si>
    <t xml:space="preserve">rev </t>
  </si>
  <si>
    <t>rpm2mcc (phi_m)</t>
  </si>
  <si>
    <t>position change per mechanical revolution: 2^16</t>
  </si>
  <si>
    <t>ACTUAL_VELOCITY (AP 125) (PERIOD_METER, phi_m_abn)</t>
  </si>
  <si>
    <t>ACTUAL_POSITION (AP 144) (phi_m_abn)</t>
  </si>
  <si>
    <t>ACTUAL_VELOCITY (AP 125) (FREQUENCY_METER, phi_m_abn)</t>
  </si>
  <si>
    <t>ABN_2_GEAR_RATIO (AP 176)</t>
  </si>
  <si>
    <r>
      <t>Velocity selection:</t>
    </r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ABN_2_ENCODER</t>
    </r>
  </si>
  <si>
    <r>
      <rPr>
        <b/>
        <sz val="11"/>
        <color theme="1"/>
        <rFont val="Calibri"/>
        <family val="2"/>
        <scheme val="minor"/>
      </rPr>
      <t xml:space="preserve">PERIOD_METER </t>
    </r>
    <r>
      <rPr>
        <sz val="11"/>
        <color theme="1"/>
        <rFont val="Calibri"/>
        <family val="2"/>
        <scheme val="minor"/>
      </rPr>
      <t xml:space="preserve">with VELOCITY_SELECTION = </t>
    </r>
    <r>
      <rPr>
        <b/>
        <sz val="11"/>
        <color theme="1"/>
        <rFont val="Calibri"/>
        <family val="2"/>
        <scheme val="minor"/>
      </rPr>
      <t>ABN2_ENCODER</t>
    </r>
  </si>
  <si>
    <r>
      <rPr>
        <b/>
        <sz val="11"/>
        <color theme="1"/>
        <rFont val="Calibri"/>
        <family val="2"/>
        <scheme val="minor"/>
      </rPr>
      <t xml:space="preserve">FREQUENCY_METER </t>
    </r>
    <r>
      <rPr>
        <sz val="11"/>
        <color theme="1"/>
        <rFont val="Calibri"/>
        <family val="2"/>
        <scheme val="minor"/>
      </rPr>
      <t xml:space="preserve">with VELOCITY_SELECTION = </t>
    </r>
    <r>
      <rPr>
        <b/>
        <sz val="11"/>
        <color theme="1"/>
        <rFont val="Calibri"/>
        <family val="2"/>
        <scheme val="minor"/>
      </rPr>
      <t>ABN2_ENCODER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</si>
  <si>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 xml:space="preserve">FREQUENCY_METER </t>
    </r>
    <r>
      <rPr>
        <sz val="11"/>
        <color theme="1"/>
        <rFont val="Calibri"/>
        <family val="2"/>
        <scheme val="minor"/>
      </rPr>
      <t>with VELOCITY_SENSOR_SELECTION =</t>
    </r>
    <r>
      <rPr>
        <b/>
        <sz val="11"/>
        <color theme="1"/>
        <rFont val="Calibri"/>
        <family val="2"/>
        <scheme val="minor"/>
      </rPr>
      <t xml:space="preserve"> ABN_2_ENCODER</t>
    </r>
  </si>
  <si>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ABN1_ENCODER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</si>
  <si>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FREQUENCY_METER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ABN1_ENCODER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</si>
  <si>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FREQUENCY_METER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ABN1_ENCODER</t>
    </r>
  </si>
  <si>
    <t>abn_count:  VELOCITY_SENSOR_SELECTION = ABN1_ENCODER; position change per mechanical revolution: ABN PPR</t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</si>
  <si>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ABN_2_ENCODER</t>
    </r>
  </si>
  <si>
    <r>
      <t>Velocity selection:</t>
    </r>
    <r>
      <rPr>
        <b/>
        <sz val="11"/>
        <color theme="1"/>
        <rFont val="Calibri"/>
        <family val="2"/>
        <scheme val="minor"/>
      </rPr>
      <t xml:space="preserve"> FREQUENCY_METER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ABN_2_ENCODER</t>
    </r>
  </si>
  <si>
    <t xml:space="preserve">ABN_1_STEPS (AP 90) </t>
  </si>
  <si>
    <r>
      <t xml:space="preserve">POSITION_SENSOR_SELECTION = </t>
    </r>
    <r>
      <rPr>
        <b/>
        <sz val="11"/>
        <color theme="1"/>
        <rFont val="Calibri"/>
        <family val="2"/>
        <scheme val="minor"/>
      </rPr>
      <t>ABN2_ENCODER</t>
    </r>
  </si>
  <si>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</t>
    </r>
    <r>
      <rPr>
        <b/>
        <sz val="11"/>
        <color theme="1"/>
        <rFont val="Calibri"/>
        <family val="2"/>
        <scheme val="minor"/>
      </rPr>
      <t xml:space="preserve"> ABN1_ENCODER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</si>
  <si>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ABN2_ENCODER</t>
    </r>
  </si>
  <si>
    <r>
      <rPr>
        <b/>
        <sz val="11"/>
        <color theme="1"/>
        <rFont val="Calibri"/>
        <family val="2"/>
        <scheme val="minor"/>
      </rPr>
      <t>FREQUENCY_METER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ABN2_ENCODER</t>
    </r>
  </si>
  <si>
    <t>phi_m: VELOCITY_SENSOR_SELECTION = ABN2_ENCODER position change per mechanical revolution: 2^16</t>
  </si>
  <si>
    <t>Rev 0</t>
  </si>
  <si>
    <t>Initial Release</t>
  </si>
  <si>
    <t>ACTUAL_VELOCITY (AP 125) (PERIOD_METER, phi_m)</t>
  </si>
  <si>
    <t>ACTUAL_VELOCITY (AP 125) (FREQUENCY_METER, phi_m)</t>
  </si>
  <si>
    <r>
      <rPr>
        <b/>
        <sz val="11"/>
        <color theme="1"/>
        <rFont val="Calibri"/>
        <family val="2"/>
        <scheme val="minor"/>
      </rPr>
      <t>FREQUENCY_METER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SPI_ENCODER</t>
    </r>
  </si>
  <si>
    <r>
      <rPr>
        <b/>
        <sz val="11"/>
        <color theme="1"/>
        <rFont val="Calibri"/>
        <family val="2"/>
        <scheme val="minor"/>
      </rPr>
      <t xml:space="preserve">PERIOD_METER </t>
    </r>
    <r>
      <rPr>
        <sz val="11"/>
        <color theme="1"/>
        <rFont val="Calibri"/>
        <family val="2"/>
        <scheme val="minor"/>
      </rPr>
      <t>with VELOCITY_SENSOR_SELECTION</t>
    </r>
    <r>
      <rPr>
        <b/>
        <sz val="11"/>
        <color theme="1"/>
        <rFont val="Calibri"/>
        <family val="2"/>
        <scheme val="minor"/>
      </rPr>
      <t xml:space="preserve"> =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SPI_ENCODER</t>
    </r>
  </si>
  <si>
    <t>ACTUAL_POSITION (AP 144) (phi_m)</t>
  </si>
  <si>
    <r>
      <t xml:space="preserve">POSITION_SENSOR_SELECTION = </t>
    </r>
    <r>
      <rPr>
        <b/>
        <sz val="11"/>
        <color theme="1"/>
        <rFont val="Calibri"/>
        <family val="2"/>
        <scheme val="minor"/>
      </rPr>
      <t xml:space="preserve"> SPI_ENCODER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</si>
  <si>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FREQUENCY_METER</t>
    </r>
    <r>
      <rPr>
        <sz val="11"/>
        <color theme="1"/>
        <rFont val="Calibri"/>
        <family val="2"/>
        <scheme val="minor"/>
      </rPr>
      <t xml:space="preserve"> with VELOCITY_SENSOR_SELECTION =</t>
    </r>
    <r>
      <rPr>
        <b/>
        <sz val="11"/>
        <color theme="1"/>
        <rFont val="Calibri"/>
        <family val="2"/>
        <scheme val="minor"/>
      </rPr>
      <t xml:space="preserve"> SPI_ENCODER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</si>
  <si>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SPI_ENCODER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</si>
  <si>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ABN1_ENCODER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</si>
  <si>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</t>
    </r>
    <r>
      <rPr>
        <b/>
        <sz val="11"/>
        <color theme="1"/>
        <rFont val="Calibri"/>
        <family val="2"/>
        <scheme val="minor"/>
      </rPr>
      <t xml:space="preserve"> ABN1_ENCODER </t>
    </r>
  </si>
  <si>
    <r>
      <t xml:space="preserve">POSITION_SENSOR_SELECTION = </t>
    </r>
    <r>
      <rPr>
        <b/>
        <sz val="11"/>
        <color theme="1"/>
        <rFont val="Calibri"/>
        <family val="2"/>
        <scheme val="minor"/>
      </rPr>
      <t>ABN1_ENCODER</t>
    </r>
    <r>
      <rPr>
        <sz val="11"/>
        <color theme="1"/>
        <rFont val="Calibri"/>
        <family val="2"/>
        <scheme val="minor"/>
      </rPr>
      <t xml:space="preserve"> </t>
    </r>
  </si>
  <si>
    <r>
      <t>POSITION_SENSOR_SELECTION =</t>
    </r>
    <r>
      <rPr>
        <b/>
        <sz val="11"/>
        <color theme="1"/>
        <rFont val="Calibri"/>
        <family val="2"/>
        <scheme val="minor"/>
      </rPr>
      <t xml:space="preserve"> ABN1_ENCODER</t>
    </r>
  </si>
  <si>
    <r>
      <t xml:space="preserve">POSITION_SENSOR_SELECTION = </t>
    </r>
    <r>
      <rPr>
        <b/>
        <sz val="11"/>
        <color theme="1"/>
        <rFont val="Calibri"/>
        <family val="2"/>
        <scheme val="minor"/>
      </rPr>
      <t>DIGITAL_HALL or SPI_ENCODER</t>
    </r>
  </si>
  <si>
    <r>
      <rPr>
        <b/>
        <sz val="11"/>
        <color theme="1"/>
        <rFont val="Calibri"/>
        <family val="2"/>
        <scheme val="minor"/>
      </rPr>
      <t>FREQUENCY_METER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DIGITAL_HALL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SPI_ENCODER</t>
    </r>
  </si>
  <si>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 xml:space="preserve">DIGITAL_HALL </t>
    </r>
    <r>
      <rPr>
        <sz val="11"/>
        <color theme="1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SPI_ENCODER</t>
    </r>
  </si>
  <si>
    <r>
      <t xml:space="preserve">Velocity selection: </t>
    </r>
    <r>
      <rPr>
        <b/>
        <sz val="11"/>
        <color theme="1"/>
        <rFont val="Calibri"/>
        <family val="2"/>
        <scheme val="minor"/>
      </rPr>
      <t>PERIOD_METER</t>
    </r>
    <r>
      <rPr>
        <sz val="11"/>
        <color theme="1"/>
        <rFont val="Calibri"/>
        <family val="2"/>
        <scheme val="minor"/>
      </rPr>
      <t xml:space="preserve"> with VELOCITY_SENSOR_SELECTION = </t>
    </r>
    <r>
      <rPr>
        <b/>
        <sz val="11"/>
        <color theme="1"/>
        <rFont val="Calibri"/>
        <family val="2"/>
        <scheme val="minor"/>
      </rPr>
      <t>DIGITAL_HALL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SPI_ENCODER</t>
    </r>
  </si>
  <si>
    <r>
      <t>Velocity selection:</t>
    </r>
    <r>
      <rPr>
        <b/>
        <sz val="11"/>
        <color theme="1"/>
        <rFont val="Calibri"/>
        <family val="2"/>
        <scheme val="minor"/>
      </rPr>
      <t xml:space="preserve"> FREQUENCY_METER</t>
    </r>
    <r>
      <rPr>
        <sz val="11"/>
        <color theme="1"/>
        <rFont val="Calibri"/>
        <family val="2"/>
        <scheme val="minor"/>
      </rPr>
      <t xml:space="preserve"> with VELOCITY_SENSOR_SELECTION =</t>
    </r>
    <r>
      <rPr>
        <b/>
        <sz val="11"/>
        <color theme="1"/>
        <rFont val="Calibri"/>
        <family val="2"/>
        <scheme val="minor"/>
      </rPr>
      <t xml:space="preserve"> DIGITAL_HALL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SPI_ENCODER</t>
    </r>
  </si>
  <si>
    <t>6/26</t>
  </si>
  <si>
    <t>DESCRIPTION</t>
  </si>
  <si>
    <t>REVISION DATE</t>
  </si>
  <si>
    <t>REVISION NUMBER</t>
  </si>
  <si>
    <t>File:</t>
  </si>
  <si>
    <t>TMC9660_Unit_Scaling_Parameter.xlsx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</si>
</sst>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b/>
      <i/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1"/>
    <xf numFmtId="0" fontId="2" fillId="3" borderId="2" xfId="2"/>
    <xf numFmtId="0" fontId="3" fillId="0" borderId="0" xfId="0" applyFont="1"/>
    <xf numFmtId="0" fontId="2" fillId="3" borderId="2" xfId="2" applyNumberFormat="1"/>
    <xf numFmtId="0" fontId="1" fillId="2" borderId="1" xfId="1" applyNumberFormat="1"/>
    <xf numFmtId="0" fontId="6" fillId="0" borderId="0" xfId="3" applyFont="1"/>
    <xf numFmtId="0" fontId="5" fillId="0" borderId="0" xfId="0" applyFont="1"/>
    <xf numFmtId="0" fontId="0" fillId="0" borderId="0" xfId="0" applyAlignment="1">
      <alignment horizontal="left"/>
    </xf>
    <xf numFmtId="0" fontId="7" fillId="0" borderId="0" xfId="3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2" fillId="3" borderId="2" xfId="2" applyNumberFormat="1"/>
    <xf numFmtId="0" fontId="12" fillId="0" borderId="0" xfId="0" applyFont="1"/>
    <xf numFmtId="17" fontId="10" fillId="0" borderId="0" xfId="0" quotePrefix="1" applyNumberFormat="1" applyFont="1"/>
    <xf numFmtId="0" fontId="7" fillId="0" borderId="0" xfId="0" applyFont="1" applyAlignment="1">
      <alignment horizontal="left"/>
    </xf>
  </cellXfs>
  <cellStyles count="4">
    <cellStyle name="Input" xfId="1" builtinId="20"/>
    <cellStyle name="Normal" xfId="0" builtinId="0"/>
    <cellStyle name="Output" xfId="2" builtinId="21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8BA9-9734-4758-9E30-850F0E0EB149}">
  <dimension ref="A1:C6"/>
  <sheetViews>
    <sheetView tabSelected="1" workbookViewId="0">
      <selection activeCell="A15" sqref="A15"/>
    </sheetView>
  </sheetViews>
  <sheetFormatPr defaultRowHeight="14.5"/>
  <cols>
    <col min="1" max="1" width="17.81640625" bestFit="1" customWidth="1"/>
    <col min="2" max="2" width="15.54296875" customWidth="1"/>
    <col min="3" max="3" width="17.453125" customWidth="1"/>
  </cols>
  <sheetData>
    <row r="1" spans="1:3">
      <c r="A1" s="11" t="s">
        <v>136</v>
      </c>
      <c r="B1" s="11" t="s">
        <v>137</v>
      </c>
      <c r="C1" s="11"/>
    </row>
    <row r="2" spans="1:3">
      <c r="A2" s="11"/>
      <c r="B2" s="11"/>
      <c r="C2" s="12"/>
    </row>
    <row r="3" spans="1:3">
      <c r="A3" s="13" t="s">
        <v>89</v>
      </c>
    </row>
    <row r="5" spans="1:3">
      <c r="A5" s="15" t="s">
        <v>135</v>
      </c>
      <c r="B5" s="11" t="s">
        <v>134</v>
      </c>
      <c r="C5" s="11" t="s">
        <v>133</v>
      </c>
    </row>
    <row r="6" spans="1:3">
      <c r="A6" t="s">
        <v>113</v>
      </c>
      <c r="B6" s="16" t="s">
        <v>132</v>
      </c>
      <c r="C6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4FF3-0D8F-4E87-A1A0-00D3A2FABE07}">
  <dimension ref="A2:D34"/>
  <sheetViews>
    <sheetView workbookViewId="0">
      <selection activeCell="B2" sqref="B2"/>
    </sheetView>
  </sheetViews>
  <sheetFormatPr defaultRowHeight="14.5"/>
  <cols>
    <col min="1" max="1" width="55.453125" bestFit="1" customWidth="1"/>
    <col min="2" max="2" width="13.54296875" customWidth="1"/>
    <col min="3" max="3" width="9.54296875" customWidth="1"/>
    <col min="4" max="4" width="96.54296875" customWidth="1"/>
  </cols>
  <sheetData>
    <row r="2" spans="1:4">
      <c r="A2" s="3" t="s">
        <v>0</v>
      </c>
      <c r="B2" s="3" t="s">
        <v>1</v>
      </c>
      <c r="C2" s="3" t="s">
        <v>2</v>
      </c>
      <c r="D2" s="3" t="s">
        <v>3</v>
      </c>
    </row>
    <row r="3" spans="1:4">
      <c r="A3" s="3"/>
      <c r="B3" s="3"/>
      <c r="C3" s="3"/>
      <c r="D3" s="3"/>
    </row>
    <row r="4" spans="1:4">
      <c r="A4" t="s">
        <v>56</v>
      </c>
      <c r="B4" s="1">
        <v>50</v>
      </c>
      <c r="D4" t="s">
        <v>55</v>
      </c>
    </row>
    <row r="5" spans="1:4">
      <c r="A5" t="s">
        <v>107</v>
      </c>
      <c r="B5" s="1">
        <v>40000</v>
      </c>
      <c r="D5" t="s">
        <v>57</v>
      </c>
    </row>
    <row r="6" spans="1:4">
      <c r="A6" t="s">
        <v>96</v>
      </c>
      <c r="B6" s="1">
        <v>1</v>
      </c>
    </row>
    <row r="8" spans="1:4">
      <c r="A8" s="3" t="s">
        <v>34</v>
      </c>
    </row>
    <row r="10" spans="1:4">
      <c r="A10" t="s">
        <v>73</v>
      </c>
      <c r="B10" s="5">
        <v>65536</v>
      </c>
      <c r="D10" t="s">
        <v>68</v>
      </c>
    </row>
    <row r="11" spans="1:4">
      <c r="A11" t="s">
        <v>6</v>
      </c>
      <c r="B11" s="4">
        <f>B10/B4/2^16*360</f>
        <v>7.2</v>
      </c>
      <c r="C11" t="s">
        <v>7</v>
      </c>
      <c r="D11" t="s">
        <v>8</v>
      </c>
    </row>
    <row r="12" spans="1:4">
      <c r="A12" t="s">
        <v>6</v>
      </c>
      <c r="B12" s="4">
        <f>B10/B4/2^16</f>
        <v>0.02</v>
      </c>
      <c r="C12" t="s">
        <v>9</v>
      </c>
      <c r="D12" t="s">
        <v>10</v>
      </c>
    </row>
    <row r="14" spans="1:4">
      <c r="A14" t="s">
        <v>74</v>
      </c>
      <c r="B14" s="5">
        <v>40000</v>
      </c>
      <c r="D14" t="s">
        <v>126</v>
      </c>
    </row>
    <row r="15" spans="1:4">
      <c r="A15" t="s">
        <v>6</v>
      </c>
      <c r="B15" s="4">
        <f>B14/B5*360</f>
        <v>360</v>
      </c>
      <c r="C15" t="s">
        <v>7</v>
      </c>
      <c r="D15" t="s">
        <v>8</v>
      </c>
    </row>
    <row r="16" spans="1:4">
      <c r="A16" t="s">
        <v>6</v>
      </c>
      <c r="B16" s="4">
        <f>B14/B5</f>
        <v>1</v>
      </c>
      <c r="C16" t="s">
        <v>9</v>
      </c>
      <c r="D16" t="s">
        <v>10</v>
      </c>
    </row>
    <row r="18" spans="1:4">
      <c r="A18" t="s">
        <v>73</v>
      </c>
      <c r="B18" s="5">
        <v>65536</v>
      </c>
      <c r="D18" t="s">
        <v>127</v>
      </c>
    </row>
    <row r="19" spans="1:4">
      <c r="A19" t="s">
        <v>6</v>
      </c>
      <c r="B19" s="4">
        <f>B18/B4/2^16*360</f>
        <v>7.2</v>
      </c>
      <c r="C19" t="s">
        <v>7</v>
      </c>
      <c r="D19" t="s">
        <v>8</v>
      </c>
    </row>
    <row r="20" spans="1:4">
      <c r="A20" t="s">
        <v>6</v>
      </c>
      <c r="B20" s="4">
        <f>B18/B4/2^16</f>
        <v>0.02</v>
      </c>
      <c r="C20" t="s">
        <v>9</v>
      </c>
      <c r="D20" t="s">
        <v>10</v>
      </c>
    </row>
    <row r="22" spans="1:4">
      <c r="A22" t="s">
        <v>94</v>
      </c>
      <c r="B22" s="5">
        <f>65536*50</f>
        <v>3276800</v>
      </c>
      <c r="D22" t="s">
        <v>108</v>
      </c>
    </row>
    <row r="23" spans="1:4">
      <c r="A23" t="s">
        <v>6</v>
      </c>
      <c r="B23" s="4">
        <f>B22/2^16*360</f>
        <v>18000</v>
      </c>
      <c r="C23" t="s">
        <v>7</v>
      </c>
      <c r="D23" t="s">
        <v>8</v>
      </c>
    </row>
    <row r="24" spans="1:4">
      <c r="A24" t="s">
        <v>6</v>
      </c>
      <c r="B24" s="4">
        <f>B22/2^16/B6</f>
        <v>50</v>
      </c>
      <c r="C24" t="s">
        <v>9</v>
      </c>
      <c r="D24" t="s">
        <v>10</v>
      </c>
    </row>
    <row r="27" spans="1:4">
      <c r="A27" s="3" t="s">
        <v>75</v>
      </c>
    </row>
    <row r="29" spans="1:4">
      <c r="A29" t="s">
        <v>6</v>
      </c>
      <c r="B29" s="1">
        <v>1</v>
      </c>
      <c r="C29" t="s">
        <v>90</v>
      </c>
      <c r="D29" t="s">
        <v>10</v>
      </c>
    </row>
    <row r="30" spans="1:4">
      <c r="A30" t="s">
        <v>73</v>
      </c>
      <c r="B30" s="4">
        <f>B29*B4*2^16</f>
        <v>3276800</v>
      </c>
      <c r="D30" t="s">
        <v>66</v>
      </c>
    </row>
    <row r="31" spans="1:4">
      <c r="A31" t="s">
        <v>74</v>
      </c>
      <c r="B31" s="4">
        <f>B29*B5</f>
        <v>40000</v>
      </c>
      <c r="D31" t="s">
        <v>125</v>
      </c>
    </row>
    <row r="32" spans="1:4">
      <c r="A32" t="s">
        <v>73</v>
      </c>
      <c r="B32" s="4">
        <f>B29*B4*2^16</f>
        <v>3276800</v>
      </c>
      <c r="D32" t="s">
        <v>67</v>
      </c>
    </row>
    <row r="33" spans="1:4">
      <c r="A33" t="s">
        <v>119</v>
      </c>
      <c r="B33" s="4">
        <f>B29*2^16*B6</f>
        <v>65536</v>
      </c>
      <c r="D33" t="s">
        <v>108</v>
      </c>
    </row>
    <row r="34" spans="1:4">
      <c r="A34" t="s">
        <v>73</v>
      </c>
      <c r="B34" s="4">
        <f>B29*B4*2^16</f>
        <v>3276800</v>
      </c>
      <c r="D34" t="s">
        <v>120</v>
      </c>
    </row>
  </sheetData>
  <phoneticPr fontId="4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D26F-AA86-4A1A-81B3-B87857D566CD}">
  <dimension ref="A2:D83"/>
  <sheetViews>
    <sheetView workbookViewId="0"/>
  </sheetViews>
  <sheetFormatPr defaultRowHeight="14.5"/>
  <cols>
    <col min="1" max="1" width="65.26953125" bestFit="1" customWidth="1"/>
    <col min="2" max="2" width="13.54296875" customWidth="1"/>
    <col min="3" max="3" width="6.453125" customWidth="1"/>
    <col min="4" max="4" width="96.54296875" customWidth="1"/>
  </cols>
  <sheetData>
    <row r="2" spans="1:4">
      <c r="A2" s="3" t="s">
        <v>0</v>
      </c>
      <c r="B2" s="3" t="s">
        <v>1</v>
      </c>
      <c r="C2" s="3" t="s">
        <v>2</v>
      </c>
      <c r="D2" s="3" t="s">
        <v>3</v>
      </c>
    </row>
    <row r="3" spans="1:4">
      <c r="A3" s="3"/>
      <c r="B3" s="3"/>
      <c r="C3" s="3"/>
      <c r="D3" s="3"/>
    </row>
    <row r="4" spans="1:4">
      <c r="A4" t="s">
        <v>11</v>
      </c>
      <c r="B4">
        <v>40000000</v>
      </c>
      <c r="C4" t="s">
        <v>12</v>
      </c>
      <c r="D4" t="s">
        <v>13</v>
      </c>
    </row>
    <row r="5" spans="1:4">
      <c r="A5" t="s">
        <v>14</v>
      </c>
      <c r="B5">
        <v>120000000</v>
      </c>
      <c r="C5" t="s">
        <v>12</v>
      </c>
      <c r="D5" t="s">
        <v>15</v>
      </c>
    </row>
    <row r="6" spans="1:4">
      <c r="A6" t="s">
        <v>56</v>
      </c>
      <c r="B6" s="1">
        <v>50</v>
      </c>
      <c r="D6" t="s">
        <v>55</v>
      </c>
    </row>
    <row r="7" spans="1:4">
      <c r="A7" t="s">
        <v>107</v>
      </c>
      <c r="B7" s="1">
        <v>40000</v>
      </c>
      <c r="D7" t="s">
        <v>57</v>
      </c>
    </row>
    <row r="8" spans="1:4">
      <c r="A8" t="s">
        <v>96</v>
      </c>
      <c r="B8" s="1">
        <v>1</v>
      </c>
    </row>
    <row r="10" spans="1:4">
      <c r="A10" t="s">
        <v>35</v>
      </c>
      <c r="B10" s="1">
        <v>5</v>
      </c>
      <c r="D10" t="s">
        <v>82</v>
      </c>
    </row>
    <row r="11" spans="1:4">
      <c r="A11" t="s">
        <v>58</v>
      </c>
      <c r="B11" s="1">
        <v>25000</v>
      </c>
      <c r="D11" t="s">
        <v>16</v>
      </c>
    </row>
    <row r="12" spans="1:4">
      <c r="A12" t="s">
        <v>77</v>
      </c>
      <c r="B12" s="2">
        <f>B5/B11-1</f>
        <v>4799</v>
      </c>
      <c r="D12" t="s">
        <v>78</v>
      </c>
    </row>
    <row r="13" spans="1:4">
      <c r="A13" t="s">
        <v>41</v>
      </c>
      <c r="B13" s="2">
        <f>B11/(B10+1)</f>
        <v>4166.666666666667</v>
      </c>
      <c r="D13" t="s">
        <v>50</v>
      </c>
    </row>
    <row r="14" spans="1:4">
      <c r="A14" t="s">
        <v>17</v>
      </c>
      <c r="B14" s="2">
        <f>ROUND(2^24/(B12+1)*B5/B4/(B10+1),0)</f>
        <v>1748</v>
      </c>
      <c r="D14" t="s">
        <v>81</v>
      </c>
    </row>
    <row r="17" spans="1:4">
      <c r="A17" s="3" t="s">
        <v>18</v>
      </c>
    </row>
    <row r="18" spans="1:4">
      <c r="D18" t="s">
        <v>46</v>
      </c>
    </row>
    <row r="19" spans="1:4">
      <c r="D19" s="10" t="s">
        <v>48</v>
      </c>
    </row>
    <row r="20" spans="1:4">
      <c r="A20" s="10" t="s">
        <v>36</v>
      </c>
      <c r="B20" s="4">
        <f>2^16 *B6* 2^24 / $B$4 / 60</f>
        <v>22906.492245333335</v>
      </c>
      <c r="D20" s="10" t="s">
        <v>64</v>
      </c>
    </row>
    <row r="21" spans="1:4">
      <c r="A21" t="s">
        <v>37</v>
      </c>
      <c r="B21" s="4">
        <f>$B$7 * 2^24 / $B$4 / 60</f>
        <v>279.62026666666668</v>
      </c>
      <c r="D21" s="10" t="s">
        <v>104</v>
      </c>
    </row>
    <row r="22" spans="1:4">
      <c r="A22" t="s">
        <v>38</v>
      </c>
      <c r="B22" s="4">
        <f>6 * $B$6 * 2^24 / $B$4 / 60</f>
        <v>2.0971519999999999</v>
      </c>
      <c r="D22" s="10" t="s">
        <v>65</v>
      </c>
    </row>
    <row r="23" spans="1:4">
      <c r="A23" t="s">
        <v>91</v>
      </c>
      <c r="B23" s="4">
        <f>2^16 * 2^24 / $B$4 / 60*B8</f>
        <v>458.12984490666662</v>
      </c>
      <c r="D23" t="s">
        <v>112</v>
      </c>
    </row>
    <row r="25" spans="1:4">
      <c r="A25" s="3" t="s">
        <v>19</v>
      </c>
    </row>
    <row r="26" spans="1:4">
      <c r="D26" t="s">
        <v>47</v>
      </c>
    </row>
    <row r="27" spans="1:4">
      <c r="D27" s="10" t="s">
        <v>49</v>
      </c>
    </row>
    <row r="28" spans="1:4">
      <c r="A28" s="10" t="s">
        <v>36</v>
      </c>
      <c r="B28" s="4">
        <f>2^16 * B6*$B$14 / $B$13 / 60</f>
        <v>22911.385599999998</v>
      </c>
      <c r="D28" s="10" t="s">
        <v>64</v>
      </c>
    </row>
    <row r="29" spans="1:4">
      <c r="A29" t="s">
        <v>42</v>
      </c>
      <c r="B29" s="4">
        <f>$B$7 * $B$14 / $B$13 / 60</f>
        <v>279.68</v>
      </c>
      <c r="D29" s="10" t="s">
        <v>104</v>
      </c>
    </row>
    <row r="30" spans="1:4">
      <c r="A30" t="s">
        <v>43</v>
      </c>
      <c r="B30" s="4">
        <f>6 * $B$6 * $B$14 / $B$13 / 60</f>
        <v>2.0975999999999999</v>
      </c>
      <c r="D30" s="10" t="s">
        <v>65</v>
      </c>
    </row>
    <row r="31" spans="1:4">
      <c r="A31" t="s">
        <v>91</v>
      </c>
      <c r="B31" s="4">
        <f>2^16 * $B$14 / $B$13 / 60*B8</f>
        <v>458.22771199999994</v>
      </c>
      <c r="D31" t="s">
        <v>112</v>
      </c>
    </row>
    <row r="32" spans="1:4">
      <c r="D32" s="10"/>
    </row>
    <row r="34" spans="1:4">
      <c r="A34" s="3" t="s">
        <v>83</v>
      </c>
    </row>
    <row r="35" spans="1:4">
      <c r="A35" t="s">
        <v>39</v>
      </c>
      <c r="B35" s="4">
        <f>2^16 *B6* 2^24 / $B$4 / 60</f>
        <v>22906.492245333335</v>
      </c>
      <c r="D35" s="10" t="s">
        <v>79</v>
      </c>
    </row>
    <row r="36" spans="1:4">
      <c r="D36" s="7"/>
    </row>
    <row r="38" spans="1:4">
      <c r="A38" s="3" t="s">
        <v>34</v>
      </c>
    </row>
    <row r="40" spans="1:4">
      <c r="A40" t="s">
        <v>51</v>
      </c>
      <c r="B40" s="5">
        <v>1000000</v>
      </c>
      <c r="D40" t="s">
        <v>69</v>
      </c>
    </row>
    <row r="41" spans="1:4">
      <c r="A41" t="s">
        <v>20</v>
      </c>
      <c r="B41" s="4">
        <f>B40/$B$20</f>
        <v>43.655745685100555</v>
      </c>
      <c r="C41" t="s">
        <v>21</v>
      </c>
      <c r="D41" t="s">
        <v>22</v>
      </c>
    </row>
    <row r="43" spans="1:4">
      <c r="A43" t="s">
        <v>52</v>
      </c>
      <c r="B43" s="5">
        <v>1000000</v>
      </c>
      <c r="D43" t="s">
        <v>101</v>
      </c>
    </row>
    <row r="44" spans="1:4">
      <c r="A44" t="s">
        <v>40</v>
      </c>
      <c r="B44" s="4">
        <f>B43/$B$21</f>
        <v>3576.2786865234375</v>
      </c>
      <c r="C44" t="s">
        <v>21</v>
      </c>
      <c r="D44" t="s">
        <v>22</v>
      </c>
    </row>
    <row r="46" spans="1:4">
      <c r="A46" t="s">
        <v>76</v>
      </c>
      <c r="B46" s="5">
        <v>167</v>
      </c>
      <c r="D46" t="s">
        <v>129</v>
      </c>
    </row>
    <row r="47" spans="1:4">
      <c r="A47" t="s">
        <v>40</v>
      </c>
      <c r="B47" s="4">
        <f>B46/$B$20</f>
        <v>7.2905095294117919E-3</v>
      </c>
      <c r="C47" t="s">
        <v>88</v>
      </c>
      <c r="D47" t="s">
        <v>22</v>
      </c>
    </row>
    <row r="49" spans="1:4">
      <c r="A49" t="s">
        <v>93</v>
      </c>
      <c r="B49" s="5">
        <v>229065</v>
      </c>
      <c r="D49" t="s">
        <v>98</v>
      </c>
    </row>
    <row r="50" spans="1:4">
      <c r="A50" t="s">
        <v>20</v>
      </c>
      <c r="B50" s="4">
        <f>B49/$B$23</f>
        <v>500.00016926787799</v>
      </c>
      <c r="C50" t="s">
        <v>21</v>
      </c>
      <c r="D50" t="s">
        <v>22</v>
      </c>
    </row>
    <row r="54" spans="1:4">
      <c r="A54" t="s">
        <v>53</v>
      </c>
      <c r="B54" s="5">
        <v>1000000</v>
      </c>
      <c r="D54" t="s">
        <v>71</v>
      </c>
    </row>
    <row r="55" spans="1:4">
      <c r="A55" t="s">
        <v>40</v>
      </c>
      <c r="B55" s="4">
        <f>B54/$B$28</f>
        <v>43.646421803489709</v>
      </c>
      <c r="C55" t="s">
        <v>21</v>
      </c>
      <c r="D55" t="s">
        <v>22</v>
      </c>
    </row>
    <row r="57" spans="1:4">
      <c r="A57" t="s">
        <v>54</v>
      </c>
      <c r="B57" s="5">
        <v>28600</v>
      </c>
      <c r="D57" t="s">
        <v>102</v>
      </c>
    </row>
    <row r="58" spans="1:4">
      <c r="A58" t="s">
        <v>40</v>
      </c>
      <c r="B58" s="4">
        <f>B57/$B$29</f>
        <v>102.25972540045767</v>
      </c>
      <c r="C58" t="s">
        <v>21</v>
      </c>
      <c r="D58" t="s">
        <v>22</v>
      </c>
    </row>
    <row r="60" spans="1:4">
      <c r="A60" t="s">
        <v>53</v>
      </c>
      <c r="B60" s="5">
        <v>167</v>
      </c>
      <c r="D60" t="s">
        <v>128</v>
      </c>
    </row>
    <row r="61" spans="1:4">
      <c r="A61" t="s">
        <v>40</v>
      </c>
      <c r="B61" s="4">
        <f>B60/$B$28</f>
        <v>7.2889524411827809E-3</v>
      </c>
      <c r="C61" t="s">
        <v>21</v>
      </c>
      <c r="D61" t="s">
        <v>22</v>
      </c>
    </row>
    <row r="62" spans="1:4">
      <c r="A62" s="10"/>
    </row>
    <row r="63" spans="1:4">
      <c r="A63" t="s">
        <v>95</v>
      </c>
      <c r="B63" s="5">
        <v>229065</v>
      </c>
      <c r="D63" t="s">
        <v>99</v>
      </c>
    </row>
    <row r="64" spans="1:4">
      <c r="A64" t="s">
        <v>20</v>
      </c>
      <c r="B64" s="4">
        <f>B63/$B$31</f>
        <v>499.89338052081848</v>
      </c>
      <c r="C64" t="s">
        <v>21</v>
      </c>
      <c r="D64" t="s">
        <v>22</v>
      </c>
    </row>
    <row r="66" spans="1:4">
      <c r="A66" s="10" t="s">
        <v>80</v>
      </c>
      <c r="B66" s="5">
        <v>500000</v>
      </c>
      <c r="D66" t="s">
        <v>23</v>
      </c>
    </row>
    <row r="67" spans="1:4">
      <c r="A67" s="10" t="s">
        <v>20</v>
      </c>
      <c r="B67" s="4">
        <f>B66/B35</f>
        <v>21.827872842550278</v>
      </c>
      <c r="C67" t="s">
        <v>21</v>
      </c>
      <c r="D67" t="s">
        <v>22</v>
      </c>
    </row>
    <row r="70" spans="1:4">
      <c r="A70" s="3" t="s">
        <v>5</v>
      </c>
    </row>
    <row r="72" spans="1:4">
      <c r="A72" t="s">
        <v>20</v>
      </c>
      <c r="B72" s="1">
        <v>20</v>
      </c>
      <c r="C72" t="s">
        <v>21</v>
      </c>
      <c r="D72" t="s">
        <v>22</v>
      </c>
    </row>
    <row r="73" spans="1:4">
      <c r="A73" t="s">
        <v>76</v>
      </c>
      <c r="B73" s="4">
        <f>$B$72*B20</f>
        <v>458129.84490666667</v>
      </c>
      <c r="D73" t="s">
        <v>69</v>
      </c>
    </row>
    <row r="74" spans="1:4">
      <c r="A74" t="s">
        <v>52</v>
      </c>
      <c r="B74" s="4">
        <f>$B$72*B21</f>
        <v>5592.4053333333341</v>
      </c>
      <c r="D74" t="s">
        <v>109</v>
      </c>
    </row>
    <row r="75" spans="1:4">
      <c r="A75" t="s">
        <v>76</v>
      </c>
      <c r="B75" s="4">
        <f>$B$72*B20</f>
        <v>458129.84490666667</v>
      </c>
      <c r="D75" t="s">
        <v>70</v>
      </c>
    </row>
    <row r="76" spans="1:4">
      <c r="A76" t="s">
        <v>115</v>
      </c>
      <c r="B76" s="14">
        <f>$B$72*B23</f>
        <v>9162.5968981333317</v>
      </c>
      <c r="D76" t="s">
        <v>110</v>
      </c>
    </row>
    <row r="77" spans="1:4">
      <c r="A77" t="s">
        <v>53</v>
      </c>
      <c r="B77" s="4">
        <f>$B$72*B20</f>
        <v>458129.84490666667</v>
      </c>
      <c r="D77" t="s">
        <v>118</v>
      </c>
    </row>
    <row r="78" spans="1:4">
      <c r="A78" t="s">
        <v>53</v>
      </c>
      <c r="B78" s="4">
        <f>$B$72*B28</f>
        <v>458227.71199999994</v>
      </c>
      <c r="D78" t="s">
        <v>71</v>
      </c>
    </row>
    <row r="79" spans="1:4">
      <c r="A79" t="s">
        <v>54</v>
      </c>
      <c r="B79" s="4">
        <f>$B$72*B29</f>
        <v>5593.6</v>
      </c>
      <c r="D79" t="s">
        <v>102</v>
      </c>
    </row>
    <row r="80" spans="1:4">
      <c r="A80" t="s">
        <v>53</v>
      </c>
      <c r="B80" s="4">
        <f>$B$72*B28</f>
        <v>458227.71199999994</v>
      </c>
      <c r="D80" t="s">
        <v>72</v>
      </c>
    </row>
    <row r="81" spans="1:4">
      <c r="A81" t="s">
        <v>116</v>
      </c>
      <c r="B81" s="4">
        <f>$B$72*B31</f>
        <v>9164.5542399999995</v>
      </c>
      <c r="D81" t="s">
        <v>111</v>
      </c>
    </row>
    <row r="82" spans="1:4">
      <c r="A82" t="s">
        <v>53</v>
      </c>
      <c r="B82" s="4">
        <f>$B$72*B28</f>
        <v>458227.71199999994</v>
      </c>
      <c r="D82" t="s">
        <v>117</v>
      </c>
    </row>
    <row r="83" spans="1:4">
      <c r="A83" s="10" t="s">
        <v>80</v>
      </c>
      <c r="B83" s="2">
        <f>B72*B35</f>
        <v>458129.84490666667</v>
      </c>
      <c r="D83" t="s">
        <v>23</v>
      </c>
    </row>
  </sheetData>
  <phoneticPr fontId="4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6BA3-B5AC-4EE9-8FCA-8A7437A191D1}">
  <dimension ref="A1:D66"/>
  <sheetViews>
    <sheetView workbookViewId="0">
      <selection activeCell="D49" sqref="D49"/>
    </sheetView>
  </sheetViews>
  <sheetFormatPr defaultRowHeight="14.5"/>
  <cols>
    <col min="1" max="1" width="32.54296875" customWidth="1"/>
    <col min="2" max="2" width="13.54296875" customWidth="1"/>
    <col min="3" max="3" width="14" customWidth="1"/>
    <col min="4" max="4" width="96.54296875" customWidth="1"/>
  </cols>
  <sheetData>
    <row r="1" spans="1:4">
      <c r="A1" s="17" t="s">
        <v>85</v>
      </c>
      <c r="B1" s="17"/>
      <c r="C1" s="17"/>
      <c r="D1" s="17"/>
    </row>
    <row r="2" spans="1:4">
      <c r="A2" s="17" t="s">
        <v>86</v>
      </c>
      <c r="B2" s="17"/>
      <c r="C2" s="17"/>
      <c r="D2" s="17"/>
    </row>
    <row r="3" spans="1:4">
      <c r="A3" s="17" t="s">
        <v>87</v>
      </c>
      <c r="B3" s="17"/>
      <c r="C3" s="17"/>
      <c r="D3" s="17"/>
    </row>
    <row r="4" spans="1:4">
      <c r="A4" s="6"/>
      <c r="B4" s="8"/>
      <c r="C4" s="8"/>
      <c r="D4" s="8"/>
    </row>
    <row r="5" spans="1:4">
      <c r="A5" s="3" t="s">
        <v>0</v>
      </c>
      <c r="B5" s="3" t="s">
        <v>1</v>
      </c>
      <c r="C5" s="3" t="s">
        <v>2</v>
      </c>
      <c r="D5" s="3" t="s">
        <v>3</v>
      </c>
    </row>
    <row r="6" spans="1:4">
      <c r="A6" s="3"/>
      <c r="B6" s="3"/>
      <c r="C6" s="3"/>
      <c r="D6" s="3"/>
    </row>
    <row r="7" spans="1:4">
      <c r="A7" t="s">
        <v>11</v>
      </c>
      <c r="B7">
        <v>40000000</v>
      </c>
      <c r="C7" t="s">
        <v>12</v>
      </c>
      <c r="D7" t="s">
        <v>13</v>
      </c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 t="s">
        <v>44</v>
      </c>
      <c r="D10" s="9" t="s">
        <v>24</v>
      </c>
    </row>
    <row r="11" spans="1:4">
      <c r="D11" t="s">
        <v>46</v>
      </c>
    </row>
    <row r="12" spans="1:4">
      <c r="D12" s="10" t="s">
        <v>48</v>
      </c>
    </row>
    <row r="13" spans="1:4">
      <c r="A13" t="s">
        <v>36</v>
      </c>
      <c r="B13" s="4">
        <f>'Velocity scaling'!B20</f>
        <v>22906.492245333335</v>
      </c>
      <c r="D13" s="10" t="s">
        <v>64</v>
      </c>
    </row>
    <row r="14" spans="1:4">
      <c r="A14" t="s">
        <v>42</v>
      </c>
      <c r="B14" s="4">
        <f>'Velocity scaling'!B21</f>
        <v>279.62026666666668</v>
      </c>
      <c r="D14" s="10" t="s">
        <v>104</v>
      </c>
    </row>
    <row r="15" spans="1:4">
      <c r="A15" t="s">
        <v>43</v>
      </c>
      <c r="B15" s="4">
        <f>'Velocity scaling'!B22</f>
        <v>2.0971519999999999</v>
      </c>
      <c r="D15" s="10" t="s">
        <v>65</v>
      </c>
    </row>
    <row r="16" spans="1:4">
      <c r="A16" t="s">
        <v>91</v>
      </c>
      <c r="B16" s="4">
        <f>'Velocity scaling'!B23</f>
        <v>458.12984490666662</v>
      </c>
      <c r="D16" t="s">
        <v>112</v>
      </c>
    </row>
    <row r="18" spans="1:4">
      <c r="A18" s="3" t="s">
        <v>45</v>
      </c>
      <c r="D18" s="9" t="s">
        <v>24</v>
      </c>
    </row>
    <row r="19" spans="1:4">
      <c r="D19" t="s">
        <v>47</v>
      </c>
    </row>
    <row r="20" spans="1:4">
      <c r="D20" s="10" t="s">
        <v>49</v>
      </c>
    </row>
    <row r="21" spans="1:4">
      <c r="A21" t="s">
        <v>36</v>
      </c>
      <c r="B21" s="4">
        <f>'Velocity scaling'!B28</f>
        <v>22911.385599999998</v>
      </c>
      <c r="D21" s="10" t="s">
        <v>64</v>
      </c>
    </row>
    <row r="22" spans="1:4">
      <c r="A22" t="s">
        <v>42</v>
      </c>
      <c r="B22" s="4">
        <f>'Velocity scaling'!B29</f>
        <v>279.68</v>
      </c>
      <c r="D22" s="10" t="s">
        <v>104</v>
      </c>
    </row>
    <row r="23" spans="1:4">
      <c r="A23" t="s">
        <v>43</v>
      </c>
      <c r="B23" s="4">
        <f>'Velocity scaling'!B30</f>
        <v>2.0975999999999999</v>
      </c>
      <c r="D23" s="10" t="s">
        <v>65</v>
      </c>
    </row>
    <row r="24" spans="1:4">
      <c r="A24" t="s">
        <v>91</v>
      </c>
      <c r="B24" s="4">
        <f>'Velocity scaling'!B31</f>
        <v>458.22771199999994</v>
      </c>
      <c r="D24" t="s">
        <v>92</v>
      </c>
    </row>
    <row r="26" spans="1:4">
      <c r="A26" s="3" t="s">
        <v>4</v>
      </c>
    </row>
    <row r="27" spans="1:4">
      <c r="A27" s="3"/>
      <c r="D27" t="s">
        <v>84</v>
      </c>
    </row>
    <row r="28" spans="1:4">
      <c r="A28" t="s">
        <v>25</v>
      </c>
      <c r="B28" s="5">
        <v>500</v>
      </c>
      <c r="D28" t="s">
        <v>59</v>
      </c>
    </row>
    <row r="29" spans="1:4">
      <c r="A29" t="s">
        <v>26</v>
      </c>
      <c r="B29" s="4">
        <f>B28 / $B$13 / 60 / 2^17 * $B$7</f>
        <v>0.11102230246251565</v>
      </c>
      <c r="C29" t="s">
        <v>27</v>
      </c>
      <c r="D29" t="s">
        <v>28</v>
      </c>
    </row>
    <row r="31" spans="1:4">
      <c r="A31" t="s">
        <v>25</v>
      </c>
      <c r="B31" s="5">
        <v>938</v>
      </c>
      <c r="D31" t="s">
        <v>123</v>
      </c>
    </row>
    <row r="32" spans="1:4">
      <c r="A32" t="s">
        <v>26</v>
      </c>
      <c r="B32" s="4">
        <f>B31 / $B$14 / 60 / 2^17 * $B$7</f>
        <v>17.062120605260134</v>
      </c>
      <c r="C32" t="s">
        <v>27</v>
      </c>
      <c r="D32" t="s">
        <v>28</v>
      </c>
    </row>
    <row r="34" spans="1:4">
      <c r="A34" t="s">
        <v>25</v>
      </c>
      <c r="B34" s="5">
        <v>5</v>
      </c>
      <c r="D34" t="s">
        <v>130</v>
      </c>
    </row>
    <row r="35" spans="1:4">
      <c r="A35" t="s">
        <v>26</v>
      </c>
      <c r="B35" s="4">
        <f>B34 / $B$13 / 60 / 2^17 * $B$7</f>
        <v>1.1102230246251565E-3</v>
      </c>
      <c r="C35" t="s">
        <v>27</v>
      </c>
      <c r="D35" t="s">
        <v>28</v>
      </c>
    </row>
    <row r="37" spans="1:4">
      <c r="A37" t="s">
        <v>25</v>
      </c>
      <c r="B37" s="5">
        <v>15000</v>
      </c>
      <c r="D37" t="s">
        <v>97</v>
      </c>
    </row>
    <row r="38" spans="1:4">
      <c r="A38" t="s">
        <v>26</v>
      </c>
      <c r="B38" s="4">
        <f>B37 / $B$16 / 60 / 2^17 * $B$7</f>
        <v>166.53345369377348</v>
      </c>
      <c r="C38" t="s">
        <v>27</v>
      </c>
      <c r="D38" t="s">
        <v>28</v>
      </c>
    </row>
    <row r="40" spans="1:4">
      <c r="A40" t="s">
        <v>25</v>
      </c>
      <c r="B40" s="5">
        <v>60000</v>
      </c>
      <c r="D40" t="s">
        <v>61</v>
      </c>
    </row>
    <row r="41" spans="1:4">
      <c r="A41" t="s">
        <v>26</v>
      </c>
      <c r="B41" s="4">
        <f>B40 / $B$21 / 60 / 2^17 * $B$7</f>
        <v>13.319830872647005</v>
      </c>
      <c r="C41" t="s">
        <v>27</v>
      </c>
      <c r="D41" t="s">
        <v>28</v>
      </c>
    </row>
    <row r="43" spans="1:4">
      <c r="A43" t="s">
        <v>25</v>
      </c>
      <c r="B43" s="5">
        <v>938</v>
      </c>
      <c r="D43" t="s">
        <v>103</v>
      </c>
    </row>
    <row r="44" spans="1:4">
      <c r="A44" t="s">
        <v>26</v>
      </c>
      <c r="B44" s="4">
        <f>B43 / $B$22 / 60 / 2^17 * $B$7</f>
        <v>17.058476521530558</v>
      </c>
      <c r="C44" t="s">
        <v>27</v>
      </c>
      <c r="D44" t="s">
        <v>28</v>
      </c>
    </row>
    <row r="46" spans="1:4">
      <c r="A46" t="s">
        <v>25</v>
      </c>
      <c r="B46" s="5">
        <v>5</v>
      </c>
      <c r="D46" t="s">
        <v>131</v>
      </c>
    </row>
    <row r="47" spans="1:4">
      <c r="A47" s="10" t="s">
        <v>26</v>
      </c>
      <c r="B47" s="4">
        <f>B46 / $B$21 / 60 / 2^17 * $B$7</f>
        <v>1.109985906053917E-3</v>
      </c>
      <c r="C47" t="s">
        <v>27</v>
      </c>
      <c r="D47" t="s">
        <v>28</v>
      </c>
    </row>
    <row r="48" spans="1:4">
      <c r="A48" s="10"/>
    </row>
    <row r="49" spans="1:4">
      <c r="A49" t="s">
        <v>25</v>
      </c>
      <c r="B49" s="5">
        <v>15000</v>
      </c>
      <c r="D49" t="s">
        <v>106</v>
      </c>
    </row>
    <row r="50" spans="1:4">
      <c r="A50" t="s">
        <v>26</v>
      </c>
      <c r="B50" s="4">
        <f>B49 / $B$24 / 60 / 2^17 * $B$7</f>
        <v>166.49788590808754</v>
      </c>
      <c r="C50" t="s">
        <v>27</v>
      </c>
      <c r="D50" t="s">
        <v>28</v>
      </c>
    </row>
    <row r="53" spans="1:4">
      <c r="A53" s="3" t="s">
        <v>5</v>
      </c>
    </row>
    <row r="55" spans="1:4">
      <c r="A55" t="s">
        <v>29</v>
      </c>
      <c r="B55" s="1">
        <v>20</v>
      </c>
      <c r="C55" t="s">
        <v>21</v>
      </c>
      <c r="D55" t="s">
        <v>30</v>
      </c>
    </row>
    <row r="56" spans="1:4">
      <c r="A56" t="s">
        <v>31</v>
      </c>
      <c r="B56" s="5">
        <v>10</v>
      </c>
      <c r="C56" t="s">
        <v>32</v>
      </c>
      <c r="D56" t="s">
        <v>33</v>
      </c>
    </row>
    <row r="57" spans="1:4">
      <c r="A57" s="10" t="s">
        <v>25</v>
      </c>
      <c r="B57" s="4">
        <f>$B$55*B$13*2^17/$B$56/$B$7</f>
        <v>150.11998757901654</v>
      </c>
      <c r="D57" t="s">
        <v>63</v>
      </c>
    </row>
    <row r="58" spans="1:4">
      <c r="A58" s="10" t="s">
        <v>25</v>
      </c>
      <c r="B58" s="4">
        <f>$B$55*B$14*2^17/$B$56/$B$7</f>
        <v>1.8325193796266668</v>
      </c>
      <c r="D58" t="s">
        <v>124</v>
      </c>
    </row>
    <row r="59" spans="1:4">
      <c r="A59" s="10" t="s">
        <v>25</v>
      </c>
      <c r="B59" s="4">
        <f>$B$55*B$13*2^17/$B$56/$B$7</f>
        <v>150.11998757901654</v>
      </c>
      <c r="D59" t="s">
        <v>60</v>
      </c>
    </row>
    <row r="60" spans="1:4">
      <c r="A60" t="s">
        <v>25</v>
      </c>
      <c r="B60" s="4">
        <f>$B$55*B$16*2^17/$B$56/$B$7</f>
        <v>3.00239975158033</v>
      </c>
      <c r="D60" t="s">
        <v>105</v>
      </c>
    </row>
    <row r="61" spans="1:4">
      <c r="A61" s="10" t="s">
        <v>25</v>
      </c>
      <c r="B61" s="4">
        <f>$B$55*B$13*2^17/$B$56/$B$7</f>
        <v>150.11998757901654</v>
      </c>
      <c r="D61" t="s">
        <v>122</v>
      </c>
    </row>
    <row r="62" spans="1:4">
      <c r="A62" s="10" t="s">
        <v>25</v>
      </c>
      <c r="B62" s="4">
        <f>$B$55*B$21*2^17/$B$56/$B$7</f>
        <v>150.15205666815999</v>
      </c>
      <c r="D62" t="s">
        <v>61</v>
      </c>
    </row>
    <row r="63" spans="1:4">
      <c r="A63" s="10" t="s">
        <v>25</v>
      </c>
      <c r="B63" s="4">
        <f>$B$55*B$22*2^17/$B$56/$B$7</f>
        <v>1.832910848</v>
      </c>
      <c r="D63" t="s">
        <v>103</v>
      </c>
    </row>
    <row r="64" spans="1:4">
      <c r="A64" s="10" t="s">
        <v>25</v>
      </c>
      <c r="B64" s="4">
        <f>$B$55*B$21*2^17/$B$56/$B$7</f>
        <v>150.15205666815999</v>
      </c>
      <c r="D64" t="s">
        <v>62</v>
      </c>
    </row>
    <row r="65" spans="1:4">
      <c r="A65" s="10" t="s">
        <v>25</v>
      </c>
      <c r="B65" s="4">
        <f>$B$55*B$24*2^17/$B$56/$B$7</f>
        <v>3.0030411333632001</v>
      </c>
      <c r="D65" t="s">
        <v>100</v>
      </c>
    </row>
    <row r="66" spans="1:4">
      <c r="A66" s="10" t="s">
        <v>25</v>
      </c>
      <c r="B66" s="4">
        <f>$B$55*B$21*2^17/$B$56/$B$7</f>
        <v>150.15205666815999</v>
      </c>
      <c r="D66" t="s">
        <v>121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Revision History</vt:lpstr>
      <vt:lpstr>Position scaling</vt:lpstr>
      <vt:lpstr>Velocity scaling</vt:lpstr>
      <vt:lpstr>Acceleration scaling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Lenard Hess</dc:creator>
  <cp:keywords/>
  <dc:description/>
  <cp:lastModifiedBy>Voelker, Florian</cp:lastModifiedBy>
  <cp:revision/>
  <dcterms:created xsi:type="dcterms:W3CDTF">2022-08-11T13:43:50Z</dcterms:created>
  <dcterms:modified xsi:type="dcterms:W3CDTF">2026-06-16T11:47:17Z</dcterms:modified>
  <cp:category/>
  <cp:contentStatus/>
</cp:coreProperties>
</file>