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analog-my.sharepoint.com/personal/omar_lirahernandez_analog_com/Documents/Documents/WorkActive/TM10/"/>
    </mc:Choice>
  </mc:AlternateContent>
  <xr:revisionPtr revIDLastSave="454" documentId="13_ncr:1_{A241A9AB-D447-4A16-834D-5D8EFCEC8681}" xr6:coauthVersionLast="47" xr6:coauthVersionMax="47" xr10:uidLastSave="{587E3262-0119-4655-81B4-C5268D2016FE}"/>
  <workbookProtection workbookAlgorithmName="SHA-512" workbookHashValue="rMk6raGaOFQq8RfBvQSWK3TzlSAPMO7JXqslb88snOYwYogwwa1ThqVXI2MaVRfp3FeH6Z96xyiVfAgYj1NnSA==" workbookSaltValue="zZuPg4Vs/TT5P8sueM/sCw==" workbookSpinCount="100000" lockStructure="1"/>
  <bookViews>
    <workbookView xWindow="6540" yWindow="240" windowWidth="22125" windowHeight="15105" tabRatio="618" xr2:uid="{9E184C6A-2EC8-476E-B671-15A5D2885344}"/>
  </bookViews>
  <sheets>
    <sheet name="Voltage &amp; Temp scaling" sheetId="17" r:id="rId1"/>
    <sheet name="Current scaling" sheetId="18" r:id="rId2"/>
    <sheet name="Open loop scaling" sheetId="14" r:id="rId3"/>
    <sheet name="Position scaling" sheetId="10" r:id="rId4"/>
    <sheet name="Velocity scaling" sheetId="7" r:id="rId5"/>
    <sheet name="Acceleration scaling" sheetId="16" r:id="rId6"/>
    <sheet name="Velocity meters comparison" sheetId="19"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19" l="1"/>
  <c r="C30" i="14"/>
  <c r="C35" i="14"/>
  <c r="C18" i="14"/>
  <c r="C22" i="16"/>
  <c r="C24" i="19" a="1"/>
  <c r="C24" i="19" s="1"/>
  <c r="C46" i="19" s="1"/>
  <c r="C13" i="18" a="1"/>
  <c r="C13" i="18" s="1"/>
  <c r="C26" i="18" a="1"/>
  <c r="C26" i="18" s="1"/>
  <c r="C48" i="7"/>
  <c r="C17" i="7"/>
  <c r="I67" i="19" l="1"/>
  <c r="I49" i="19"/>
  <c r="I51" i="19"/>
  <c r="I74" i="19"/>
  <c r="I56" i="19"/>
  <c r="I59" i="19"/>
  <c r="I62" i="19"/>
  <c r="I82" i="19"/>
  <c r="I66" i="19"/>
  <c r="I48" i="19"/>
  <c r="I70" i="19"/>
  <c r="I72" i="19"/>
  <c r="I34" i="19"/>
  <c r="I35" i="19"/>
  <c r="I36" i="19"/>
  <c r="I37" i="19"/>
  <c r="I38" i="19"/>
  <c r="I80" i="19"/>
  <c r="I42" i="19"/>
  <c r="I43" i="19"/>
  <c r="I63" i="19"/>
  <c r="I83" i="19"/>
  <c r="I71" i="19"/>
  <c r="I33" i="19"/>
  <c r="I55" i="19"/>
  <c r="I76" i="19"/>
  <c r="I39" i="19"/>
  <c r="I40" i="19"/>
  <c r="I41" i="19"/>
  <c r="I44" i="19"/>
  <c r="I64" i="19"/>
  <c r="I84" i="19"/>
  <c r="I47" i="19"/>
  <c r="I68" i="19"/>
  <c r="I50" i="19"/>
  <c r="I52" i="19"/>
  <c r="I73" i="19"/>
  <c r="I75" i="19"/>
  <c r="I57" i="19"/>
  <c r="I58" i="19"/>
  <c r="I60" i="19"/>
  <c r="I61" i="19"/>
  <c r="I45" i="19"/>
  <c r="I65" i="19"/>
  <c r="I85" i="19"/>
  <c r="I86" i="19"/>
  <c r="I87" i="19"/>
  <c r="I88" i="19"/>
  <c r="I89" i="19"/>
  <c r="I90" i="19"/>
  <c r="I91" i="19"/>
  <c r="I92" i="19"/>
  <c r="I93" i="19"/>
  <c r="I94" i="19"/>
  <c r="I95" i="19"/>
  <c r="I96" i="19"/>
  <c r="I31" i="19"/>
  <c r="I78" i="19"/>
  <c r="I79" i="19"/>
  <c r="C28" i="19"/>
  <c r="I46" i="19"/>
  <c r="I69" i="19"/>
  <c r="I32" i="19"/>
  <c r="I53" i="19"/>
  <c r="I54" i="19"/>
  <c r="I77" i="19"/>
  <c r="I81" i="19"/>
  <c r="C51" i="19"/>
  <c r="C56" i="19" l="1"/>
  <c r="C58" i="19" s="1"/>
  <c r="C53" i="19"/>
  <c r="C17" i="19"/>
  <c r="C18" i="19" s="1"/>
  <c r="C58" i="16"/>
  <c r="C31" i="16"/>
  <c r="C58" i="14"/>
  <c r="C40" i="14"/>
  <c r="C41" i="14"/>
  <c r="C31" i="14"/>
  <c r="C22" i="14"/>
  <c r="C23" i="14" s="1"/>
  <c r="C17" i="14"/>
  <c r="C25" i="7"/>
  <c r="C39" i="7" s="1"/>
  <c r="C47" i="17"/>
  <c r="C43" i="17"/>
  <c r="C19" i="17" a="1"/>
  <c r="C19" i="17" s="1"/>
  <c r="C33" i="17" s="1"/>
  <c r="C21" i="17" a="1"/>
  <c r="C21" i="17" s="1"/>
  <c r="C35" i="17" s="1"/>
  <c r="C20" i="17" a="1"/>
  <c r="C20" i="17" s="1"/>
  <c r="C34" i="17" s="1"/>
  <c r="C18" i="17"/>
  <c r="C25" i="17" s="1"/>
  <c r="C31" i="18" a="1"/>
  <c r="C31" i="18" s="1"/>
  <c r="C27" i="18"/>
  <c r="C12" i="18" a="1"/>
  <c r="C12" i="18" s="1"/>
  <c r="C20" i="18" s="1"/>
  <c r="C21" i="18" s="1" a="1"/>
  <c r="C21" i="18" s="1"/>
  <c r="C22" i="18" s="1"/>
  <c r="C20" i="10"/>
  <c r="C27" i="10" s="1"/>
  <c r="C18" i="10"/>
  <c r="C25" i="10" s="1"/>
  <c r="C19" i="10"/>
  <c r="C33" i="10" s="1"/>
  <c r="C17" i="10"/>
  <c r="C24" i="10" s="1"/>
  <c r="C27" i="7"/>
  <c r="C41" i="7" s="1"/>
  <c r="C26" i="7"/>
  <c r="C40" i="7" s="1"/>
  <c r="C24" i="7"/>
  <c r="C38" i="7" s="1"/>
  <c r="C16" i="7"/>
  <c r="J50" i="19" l="1"/>
  <c r="C16" i="19"/>
  <c r="C54" i="19" s="1"/>
  <c r="C57" i="19"/>
  <c r="C52" i="19"/>
  <c r="C48" i="14"/>
  <c r="C36" i="14"/>
  <c r="C28" i="17"/>
  <c r="C27" i="17"/>
  <c r="C26" i="17"/>
  <c r="C32" i="17"/>
  <c r="C26" i="10"/>
  <c r="C34" i="10"/>
  <c r="C31" i="10"/>
  <c r="C15" i="16"/>
  <c r="C18" i="16"/>
  <c r="C25" i="16" s="1"/>
  <c r="C16" i="16"/>
  <c r="C23" i="16" s="1"/>
  <c r="C17" i="16"/>
  <c r="C24" i="16" s="1"/>
  <c r="C34" i="7"/>
  <c r="C33" i="7"/>
  <c r="C31" i="7"/>
  <c r="C32" i="7"/>
  <c r="C32" i="10"/>
  <c r="C59" i="14" l="1"/>
  <c r="C52" i="14"/>
  <c r="C59" i="19"/>
  <c r="J93" i="19"/>
  <c r="J83" i="19"/>
  <c r="J73" i="19"/>
  <c r="J63" i="19"/>
  <c r="J55" i="19"/>
  <c r="J39" i="19"/>
  <c r="J82" i="19"/>
  <c r="J72" i="19"/>
  <c r="J62" i="19"/>
  <c r="J47" i="19"/>
  <c r="J38" i="19"/>
  <c r="J92" i="19"/>
  <c r="J91" i="19"/>
  <c r="J81" i="19"/>
  <c r="J71" i="19"/>
  <c r="J61" i="19"/>
  <c r="J37" i="19"/>
  <c r="J90" i="19"/>
  <c r="J80" i="19"/>
  <c r="J70" i="19"/>
  <c r="J60" i="19"/>
  <c r="J53" i="19"/>
  <c r="J36" i="19"/>
  <c r="J54" i="19"/>
  <c r="J89" i="19"/>
  <c r="J79" i="19"/>
  <c r="J69" i="19"/>
  <c r="J45" i="19"/>
  <c r="J35" i="19"/>
  <c r="J59" i="19"/>
  <c r="J52" i="19"/>
  <c r="J88" i="19"/>
  <c r="J78" i="19"/>
  <c r="J68" i="19"/>
  <c r="J44" i="19"/>
  <c r="J34" i="19"/>
  <c r="J46" i="19"/>
  <c r="J87" i="19"/>
  <c r="J77" i="19"/>
  <c r="J67" i="19"/>
  <c r="J58" i="19"/>
  <c r="J51" i="19"/>
  <c r="J43" i="19"/>
  <c r="J33" i="19"/>
  <c r="J96" i="19"/>
  <c r="J86" i="19"/>
  <c r="J76" i="19"/>
  <c r="J66" i="19"/>
  <c r="J42" i="19"/>
  <c r="J32" i="19"/>
  <c r="J57" i="19"/>
  <c r="J95" i="19"/>
  <c r="J85" i="19"/>
  <c r="J75" i="19"/>
  <c r="J65" i="19"/>
  <c r="J49" i="19"/>
  <c r="J41" i="19"/>
  <c r="J31" i="19"/>
  <c r="J94" i="19"/>
  <c r="J84" i="19"/>
  <c r="J74" i="19"/>
  <c r="J64" i="19"/>
  <c r="J56" i="19"/>
  <c r="J40" i="19"/>
  <c r="J48" i="19"/>
  <c r="C48" i="19"/>
  <c r="C47" i="19"/>
  <c r="C49" i="19"/>
  <c r="C32" i="16"/>
  <c r="C35" i="16"/>
  <c r="C33" i="16"/>
  <c r="C34" i="16"/>
  <c r="C15" i="7" l="1"/>
  <c r="C51" i="7" l="1"/>
  <c r="C49" i="7"/>
  <c r="C50" i="7"/>
  <c r="C64" i="7" s="1"/>
  <c r="C44" i="16" l="1"/>
  <c r="C62" i="7"/>
  <c r="C42" i="16"/>
  <c r="C63" i="7"/>
  <c r="C43" i="16"/>
  <c r="C65" i="7"/>
  <c r="C45" i="16"/>
  <c r="C55" i="7"/>
  <c r="C57" i="7"/>
  <c r="C56" i="7"/>
  <c r="C58" i="7"/>
  <c r="C50" i="16" l="1"/>
  <c r="C60" i="16"/>
  <c r="C52" i="16"/>
  <c r="C62" i="16"/>
  <c r="C49" i="16"/>
  <c r="C59" i="16"/>
  <c r="C51" i="16"/>
  <c r="C61"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<sst xmlns="http://schemas.openxmlformats.org/spreadsheetml/2006/main" count="718" uniqueCount="251">
  <si>
    <t>Info:</t>
  </si>
  <si>
    <t>System Parameters</t>
  </si>
  <si>
    <t>Parameter</t>
  </si>
  <si>
    <t>Value</t>
  </si>
  <si>
    <t>Unit</t>
  </si>
  <si>
    <t>Description</t>
  </si>
  <si>
    <t>ADC resolution</t>
  </si>
  <si>
    <t>bits</t>
  </si>
  <si>
    <t>ADC result is scaled to 16-bit signed: 32767 to -32768</t>
  </si>
  <si>
    <t>ADC reference voltage</t>
  </si>
  <si>
    <t>V</t>
  </si>
  <si>
    <t>Internal ADC reference voltage</t>
  </si>
  <si>
    <t>ANA_DIV_VCCIO</t>
  </si>
  <si>
    <t>[reg]</t>
  </si>
  <si>
    <t>Divider for analog inputs on VCC_IO, register value: CHIP.IO_CONFIG.ANA_DIV_VCCIO</t>
  </si>
  <si>
    <t>ANA_DIV_VCCIOF</t>
  </si>
  <si>
    <t>Divider for analog inputs on VCC_IOF, register value: CHIP.IO_CONFIG.ANA_DIV_VCCIOF</t>
  </si>
  <si>
    <t>Voltage scaling</t>
  </si>
  <si>
    <t>Scaling factors:</t>
  </si>
  <si>
    <t>v2ic: Motor supply</t>
  </si>
  <si>
    <t>[reg]/V</t>
  </si>
  <si>
    <t>= 2^(adc_res_bits - 1) / adc_reference / 287*9</t>
  </si>
  <si>
    <t>v2ic: TEMP pin</t>
  </si>
  <si>
    <r>
      <rPr>
        <b/>
        <sz val="11"/>
        <color theme="1"/>
        <rFont val="Calibri"/>
        <family val="2"/>
        <scheme val="minor"/>
      </rPr>
      <t>= 2^(adc_res_bits - 1) / adc_reference / div_ana_div_vccio</t>
    </r>
    <r>
      <rPr>
        <sz val="11"/>
        <color theme="1"/>
        <rFont val="Calibri"/>
        <family val="2"/>
        <scheme val="minor"/>
      </rPr>
      <t xml:space="preserve"> (dependent on ANA_DIV_VCCIO)</t>
    </r>
  </si>
  <si>
    <t>v2ic: AIN pin</t>
  </si>
  <si>
    <t>v2ic: feedback's AIN_x</t>
  </si>
  <si>
    <r>
      <rPr>
        <b/>
        <sz val="11"/>
        <color theme="1"/>
        <rFont val="Calibri"/>
        <family val="2"/>
        <scheme val="minor"/>
      </rPr>
      <t>= 2^(adc_res_bits - 1) / adc_reference / div_ana_div_vcciof</t>
    </r>
    <r>
      <rPr>
        <sz val="11"/>
        <color theme="1"/>
        <rFont val="Calibri"/>
        <family val="2"/>
        <scheme val="minor"/>
      </rPr>
      <t xml:space="preserve"> (dependent on ANA_DIV_VCCIOF)</t>
    </r>
  </si>
  <si>
    <t>Register value to real world unit conversion:</t>
  </si>
  <si>
    <t>Register value</t>
  </si>
  <si>
    <t>ADC register value</t>
  </si>
  <si>
    <t>Voltage: Motor supply</t>
  </si>
  <si>
    <t>Actual motor supply voltage in volts</t>
  </si>
  <si>
    <t>Voltage: TEMP pin</t>
  </si>
  <si>
    <t>Actual voltage at TEMP pin for external temperature measurement in volts</t>
  </si>
  <si>
    <t>Voltage: AIN pin</t>
  </si>
  <si>
    <t>Actual voltage at analog input AIN in volts</t>
  </si>
  <si>
    <t>Voltage: feedback's AIN_x</t>
  </si>
  <si>
    <t>Actual voltage at feedback's analog inputs AIN_U, AIN_V, AIN_W in volts</t>
  </si>
  <si>
    <t>Real world unit to register value conversion:</t>
  </si>
  <si>
    <t>Voltage</t>
  </si>
  <si>
    <t>Actual voltage</t>
  </si>
  <si>
    <t>Register value: Motor supply</t>
  </si>
  <si>
    <t>Supply voltage measurement register value: ADC.VM_I2_RAW.VM</t>
  </si>
  <si>
    <t>Register value: TEMP pin</t>
  </si>
  <si>
    <t>External temperatur measurement register value: ADC.TEMP_RAW.TEMP_EXT</t>
  </si>
  <si>
    <t>Register value: AIN pin</t>
  </si>
  <si>
    <t>Analog input register value: ADC.AIN_AIN_W_RAW.AIN</t>
  </si>
  <si>
    <t>Register value: feedback's AIN_x</t>
  </si>
  <si>
    <t>Feedback's analog inputs register value: ADC.AIN_V_AIN_U_RAW.*, ADC.AIN_AIN_W_RAW.AIN_W</t>
  </si>
  <si>
    <t>Temperature scaling</t>
  </si>
  <si>
    <t>= (TEMP_INT * adc_reference/2^(adc_res_bits - 1) - 0.622) * 1250/3</t>
  </si>
  <si>
    <t>Temperatur measurement register value: ADC.TEMP_RAW.TEMP_INT</t>
  </si>
  <si>
    <t>IC temperature</t>
  </si>
  <si>
    <t>°C</t>
  </si>
  <si>
    <t>Actual temperature from chip internal sensor in °C</t>
  </si>
  <si>
    <t>= (internal_temp * 3/1250 + 0.622) * 2^(adc_res_bits - 1)/adc_reference</t>
  </si>
  <si>
    <t>LEGEND:</t>
  </si>
  <si>
    <t>Output: External Value</t>
  </si>
  <si>
    <t>Output: Register Value</t>
  </si>
  <si>
    <t>Interim Value</t>
  </si>
  <si>
    <t>Defined Parameter</t>
  </si>
  <si>
    <t>Current measurement is done through an ADC and a CSA.
Due to the way the components are internally arranged, the CSA gain is effectively transparent for the resulting current measurement value.
This means that choosing different CSA gains will not result in a change of the measured current value in ADC.I1_I0_RAW.I1/0 and ADC.VM_I2_RAW.I2.
However, setting a higher CSR gain will increase the measurement resolution, at the cost of decreasing the maximum current that can be measured.
Changing the LS resistance value will also affect the maximum current that can be measured by the ADCs.</t>
  </si>
  <si>
    <t>-</t>
  </si>
  <si>
    <t>LS_RES_ON</t>
  </si>
  <si>
    <t>Low side resistance, register value: MCC_CONFIG.GDRV.LS_RES_ON</t>
  </si>
  <si>
    <t>CSA_GAIN</t>
  </si>
  <si>
    <t>CSA gain, register value: MCC_ADC.CSA_GAIN.CSA_GAIN</t>
  </si>
  <si>
    <t>Current Scaling</t>
  </si>
  <si>
    <t>LS Resistance</t>
  </si>
  <si>
    <t>mOhm</t>
  </si>
  <si>
    <t>CSA gain</t>
  </si>
  <si>
    <t>Absolute maximum possible values:</t>
  </si>
  <si>
    <t>I0, I1, I2 (RAW)</t>
  </si>
  <si>
    <t>Maximum possible absolute value for a given gain, current measurement value will not exceed this value</t>
  </si>
  <si>
    <t>Phase current</t>
  </si>
  <si>
    <t>mA</t>
  </si>
  <si>
    <t>Maximum actual phase current in mA</t>
  </si>
  <si>
    <t>RMS phase current</t>
  </si>
  <si>
    <t>mA_RMS</t>
  </si>
  <si>
    <t>Maximum equivalent RMS phase current in mA</t>
  </si>
  <si>
    <t>Phase current measurement register value (16-bit signed): ADC.I1_I0_RAW.I1/0, ADC.VM_I2_RAW.I2</t>
  </si>
  <si>
    <t>Actual phase current in mA</t>
  </si>
  <si>
    <t>Equivalent RMS phase current in mA</t>
  </si>
  <si>
    <t>Input: Option</t>
  </si>
  <si>
    <t>System Parameters:</t>
  </si>
  <si>
    <t>CLK frequency</t>
  </si>
  <si>
    <t>Hz</t>
  </si>
  <si>
    <t>System clock frequency</t>
  </si>
  <si>
    <t>Number of pole pairs</t>
  </si>
  <si>
    <t>Scaling factor between mechanical and electrical revolution</t>
  </si>
  <si>
    <t>Position Scaling - Open Loop Operation</t>
  </si>
  <si>
    <t>Register value to real world conversion</t>
  </si>
  <si>
    <t>Register position</t>
  </si>
  <si>
    <t>Position target/actual register value: FOC.PID_POSITION_TARGET/ACTUAL.*</t>
  </si>
  <si>
    <t>Motor electrical position</t>
  </si>
  <si>
    <t>erev</t>
  </si>
  <si>
    <t>Actual motor position in electrical revolutions</t>
  </si>
  <si>
    <t>Motor mechanical position</t>
  </si>
  <si>
    <t>rev</t>
  </si>
  <si>
    <t>Actual motor position in mechanical revolutions</t>
  </si>
  <si>
    <t>Real world to register value conversion</t>
  </si>
  <si>
    <t>Velocity Scaling - Open Loop Operation</t>
  </si>
  <si>
    <t>Scaling factors</t>
  </si>
  <si>
    <t>rpm2ic: mechanical RPM</t>
  </si>
  <si>
    <t>[reg]/rpm</t>
  </si>
  <si>
    <t>= 2^16 * 2^24 * clk_freq / 60</t>
  </si>
  <si>
    <t>erpm2ic: electrical RPM</t>
  </si>
  <si>
    <t>[reg]/erpm</t>
  </si>
  <si>
    <t>Register velocity</t>
  </si>
  <si>
    <t>Velocity target/actual register value: FOC.PID_VELOCITY_TARGET/ACTUAL.*</t>
  </si>
  <si>
    <t>Motor mechanical velocity</t>
  </si>
  <si>
    <t>rpm</t>
  </si>
  <si>
    <t>Actual motor velocity in mechanical RPM</t>
  </si>
  <si>
    <t>Motor electrical velocity</t>
  </si>
  <si>
    <t>erpm</t>
  </si>
  <si>
    <t>Actual motor velocity in electrical RPM</t>
  </si>
  <si>
    <t>Acceleration Scaling - Open Loop Operation</t>
  </si>
  <si>
    <t>Scaling factor from "Velocity scaling"</t>
  </si>
  <si>
    <t>Register acceleration</t>
  </si>
  <si>
    <t>Ramper acceleration  register value: RAMPER_{A1, _A2, _A_MAX, _D1, _D2, _D_MAX, _ACCELERATION}</t>
  </si>
  <si>
    <t>Motor acceleration</t>
  </si>
  <si>
    <t>rev/s^2</t>
  </si>
  <si>
    <t>Actual motor acceleration in mechanical rev/s^2</t>
  </si>
  <si>
    <t>Motor velocity 1</t>
  </si>
  <si>
    <t>Initial motor velocity in RPM</t>
  </si>
  <si>
    <t>Motor velocity 2</t>
  </si>
  <si>
    <t>Final motor velocity in RPM</t>
  </si>
  <si>
    <t>Acceleration time</t>
  </si>
  <si>
    <t>s</t>
  </si>
  <si>
    <t>Acceleration time in seconds</t>
  </si>
  <si>
    <t>Motor acceleration (absolute)</t>
  </si>
  <si>
    <t>Resulting actual acceleration in mechanical rev/s^2</t>
  </si>
  <si>
    <r>
      <t xml:space="preserve">The position conversion to real world units depends mainly on the chosen feedback source and its configured scaling value, that is, the values in FEEDBACK.CONF_CH_A/B.SRC_SEL_A/B and FEEDBACK.CONF_CH_A/B.CPR_INV_A/B.
Some other parameters are needed depending the type of feedback, for example the number of motor pole pairs, or the encoder's CPR.
</t>
    </r>
    <r>
      <rPr>
        <b/>
        <sz val="11"/>
        <color theme="1"/>
        <rFont val="Calibri"/>
        <family val="2"/>
        <scheme val="minor"/>
      </rPr>
      <t>Note 1:</t>
    </r>
    <r>
      <rPr>
        <sz val="11"/>
        <color theme="1"/>
        <rFont val="Calibri"/>
        <family val="2"/>
        <scheme val="minor"/>
      </rPr>
      <t xml:space="preserve"> if using an ABN encoder as feedback, any of ABN_1 / ABN_2 / ABN_1_FREE / ABN_2_FREE options of the SRC_SEL_x can be used for position measurement, however it is highly recommended to use the _FREE options.
</t>
    </r>
    <r>
      <rPr>
        <b/>
        <sz val="11"/>
        <color theme="1"/>
        <rFont val="Calibri"/>
        <family val="2"/>
        <scheme val="minor"/>
      </rPr>
      <t xml:space="preserve">Note 2: </t>
    </r>
    <r>
      <rPr>
        <sz val="11"/>
        <color theme="1"/>
        <rFont val="Calibri"/>
        <family val="2"/>
        <scheme val="minor"/>
      </rPr>
      <t>if using a Hall sensor as feedback, use the HALL_FREE option of the SRC_SEL_x for velocity measurement, do not use the HALL option.</t>
    </r>
  </si>
  <si>
    <t>Motor number of pole pairs</t>
  </si>
  <si>
    <t>ABN encoder CPR (if applicable)</t>
  </si>
  <si>
    <t>Number of AB-encoder counts per mechanical revolution (Encoder lines x4)</t>
  </si>
  <si>
    <t>CPR_INV_x</t>
  </si>
  <si>
    <t>Inverse CPR for scaling calculation, register value: FEEDBACK.CONF_CH_A/B.CPR_INV_A/B</t>
  </si>
  <si>
    <t>Position Scaling</t>
  </si>
  <si>
    <t>Description / Condition</t>
  </si>
  <si>
    <t>rev2ic: ABN</t>
  </si>
  <si>
    <t>[reg]/rev</t>
  </si>
  <si>
    <t>rev2ic: SinCos</t>
  </si>
  <si>
    <t>rev2ic: Analog Hall</t>
  </si>
  <si>
    <t>rev2ic: Hall</t>
  </si>
  <si>
    <t>Motor position: ABN</t>
  </si>
  <si>
    <r>
      <t>SRC_SEL_x=</t>
    </r>
    <r>
      <rPr>
        <b/>
        <sz val="11"/>
        <color theme="1"/>
        <rFont val="Calibri"/>
        <family val="2"/>
        <scheme val="minor"/>
      </rPr>
      <t>ABN_1</t>
    </r>
    <r>
      <rPr>
        <sz val="11"/>
        <color theme="1"/>
        <rFont val="Calibri"/>
        <family val="2"/>
        <scheme val="minor"/>
      </rPr>
      <t xml:space="preserve"> / </t>
    </r>
    <r>
      <rPr>
        <b/>
        <sz val="11"/>
        <color theme="1"/>
        <rFont val="Calibri"/>
        <family val="2"/>
        <scheme val="minor"/>
      </rPr>
      <t>ABN_2</t>
    </r>
    <r>
      <rPr>
        <sz val="11"/>
        <color theme="1"/>
        <rFont val="Calibri"/>
        <family val="2"/>
        <scheme val="minor"/>
      </rPr>
      <t xml:space="preserve"> / </t>
    </r>
    <r>
      <rPr>
        <b/>
        <sz val="11"/>
        <color theme="1"/>
        <rFont val="Calibri"/>
        <family val="2"/>
        <scheme val="minor"/>
      </rPr>
      <t>ABN_1_FREE</t>
    </r>
    <r>
      <rPr>
        <sz val="11"/>
        <color theme="1"/>
        <rFont val="Calibri"/>
        <family val="2"/>
        <scheme val="minor"/>
      </rPr>
      <t xml:space="preserve"> / </t>
    </r>
    <r>
      <rPr>
        <b/>
        <sz val="11"/>
        <color theme="1"/>
        <rFont val="Calibri"/>
        <family val="2"/>
        <scheme val="minor"/>
      </rPr>
      <t>ABN_2_FREE</t>
    </r>
  </si>
  <si>
    <t>Motor position: SinCos</t>
  </si>
  <si>
    <r>
      <t>SRC_SEL_x=</t>
    </r>
    <r>
      <rPr>
        <b/>
        <sz val="11"/>
        <color theme="1"/>
        <rFont val="Calibri"/>
        <family val="2"/>
        <scheme val="minor"/>
      </rPr>
      <t>ANALOG_HALL</t>
    </r>
    <r>
      <rPr>
        <sz val="11"/>
        <color theme="1"/>
        <rFont val="Calibri"/>
        <family val="2"/>
        <scheme val="minor"/>
      </rPr>
      <t>, ANA_MODE=</t>
    </r>
    <r>
      <rPr>
        <b/>
        <sz val="11"/>
        <color theme="1"/>
        <rFont val="Calibri"/>
        <family val="2"/>
        <scheme val="minor"/>
      </rPr>
      <t>XY</t>
    </r>
  </si>
  <si>
    <t>Motor position: Analog Hall</t>
  </si>
  <si>
    <r>
      <t>SRC_SEL_x=</t>
    </r>
    <r>
      <rPr>
        <b/>
        <sz val="11"/>
        <color theme="1"/>
        <rFont val="Calibri"/>
        <family val="2"/>
        <scheme val="minor"/>
      </rPr>
      <t>ANALOG_HALL</t>
    </r>
    <r>
      <rPr>
        <sz val="11"/>
        <color theme="1"/>
        <rFont val="Calibri"/>
        <family val="2"/>
        <scheme val="minor"/>
      </rPr>
      <t>, ANA_MODE=</t>
    </r>
    <r>
      <rPr>
        <b/>
        <sz val="11"/>
        <color theme="1"/>
        <rFont val="Calibri"/>
        <family val="2"/>
        <scheme val="minor"/>
      </rPr>
      <t>UVW</t>
    </r>
  </si>
  <si>
    <t>Motor position: Hall</t>
  </si>
  <si>
    <r>
      <t>SRC_SEL_x=</t>
    </r>
    <r>
      <rPr>
        <b/>
        <sz val="11"/>
        <color theme="1"/>
        <rFont val="Calibri"/>
        <family val="2"/>
        <scheme val="minor"/>
      </rPr>
      <t>HALL_FREE</t>
    </r>
  </si>
  <si>
    <t>Motor position</t>
  </si>
  <si>
    <t>Actual motor position in revolutions</t>
  </si>
  <si>
    <t>Register position: ABN</t>
  </si>
  <si>
    <t>Register position: SinCos</t>
  </si>
  <si>
    <t>Register position: Analog Hall</t>
  </si>
  <si>
    <t>Register position: Hall</t>
  </si>
  <si>
    <t>PWM CLK frequency</t>
  </si>
  <si>
    <t>PWM clock frequency</t>
  </si>
  <si>
    <t>MAX_COUNT</t>
  </si>
  <si>
    <t>For PWM frequency calculation, register value:
MCC_CONFIG.PWM_PERIOD.MAX_COUNT</t>
  </si>
  <si>
    <t>VELOCITY_SAMPLING</t>
  </si>
  <si>
    <t>Defines update rate for the velocity controller and the frequency velocity meter, register value:
FEEDBACK.VELOCITY_FRQ_CONF.VELOCITY_SCALING</t>
  </si>
  <si>
    <t>VELOCITY_SCALING</t>
  </si>
  <si>
    <t>Scaling factor for frequency velocity meter to get same scaling for both velocity meters, register value: FEEDBACK.VELOCITY_FRQ_CONF.VELOCITY_SCALING</t>
  </si>
  <si>
    <t>PWM frequency</t>
  </si>
  <si>
    <t xml:space="preserve">Active PWM frequency </t>
  </si>
  <si>
    <t>Update rate frequency velocity meter</t>
  </si>
  <si>
    <t>Update rate for frequency velocity meter &amp; velocity controller</t>
  </si>
  <si>
    <t>Velocity Scalig - Period Velocity Meter</t>
  </si>
  <si>
    <t>rpm2ic: ABN</t>
  </si>
  <si>
    <t>rpm2ic: SinCos</t>
  </si>
  <si>
    <t>rpm2ic: Analog Hall</t>
  </si>
  <si>
    <t>rpm2ic: Hall</t>
  </si>
  <si>
    <t>Motor velocity: ABN</t>
  </si>
  <si>
    <t>Motor velocity: SinCos</t>
  </si>
  <si>
    <t>Motor velocity: Analog Hall</t>
  </si>
  <si>
    <t>Motor velocity: Hall</t>
  </si>
  <si>
    <t>Motor velocity</t>
  </si>
  <si>
    <t>Actual motor velocity in RPM</t>
  </si>
  <si>
    <t>Register velocity: ABN</t>
  </si>
  <si>
    <t>Register velocity: SinCos</t>
  </si>
  <si>
    <t>Register velocity: Analog Hall</t>
  </si>
  <si>
    <t>Register velocity: Hall</t>
  </si>
  <si>
    <t>Velocity Scalig - Frequency Velocity Meter</t>
  </si>
  <si>
    <t>Ramper Acceleration Scalig w/ Period Velocity Meter</t>
  </si>
  <si>
    <t>Velocity scaling factors:</t>
  </si>
  <si>
    <t>Scaling factor from page "Velocity scaling"</t>
  </si>
  <si>
    <t>Motor acceleration: ABN</t>
  </si>
  <si>
    <t>Motor acceleration: SinCos</t>
  </si>
  <si>
    <t>Motor acceleration: Analog Hall</t>
  </si>
  <si>
    <t>Motor acceleration: Hall</t>
  </si>
  <si>
    <t>Resulting actual acceleration in rev/s^2</t>
  </si>
  <si>
    <t>Register acceleration: ABN</t>
  </si>
  <si>
    <t>Register acceleration: SinCos</t>
  </si>
  <si>
    <t>Register acceleration: Analog Hall</t>
  </si>
  <si>
    <t>Register acceleration: Hall</t>
  </si>
  <si>
    <t>Ramper Acceleration Scalig w/ Frequency Velocity Meter</t>
  </si>
  <si>
    <t>POS_DEV_MIN</t>
  </si>
  <si>
    <t>Lower is better</t>
  </si>
  <si>
    <t>Resolution of slow velocity meter</t>
  </si>
  <si>
    <t>Velocity threshold to select velocity meter type</t>
  </si>
  <si>
    <t>Resolution of frequency velocity meter</t>
  </si>
  <si>
    <t>resolution period velocity meter</t>
  </si>
  <si>
    <t>resolution frequency velocity meter</t>
  </si>
  <si>
    <t>Use period velocity meter below this velocity and frequency velocity meter above it</t>
  </si>
  <si>
    <t>Maximum velocity for period velocity meter (no filter)</t>
  </si>
  <si>
    <r>
      <t xml:space="preserve">Maximum velocity for period velocity meter (period measurement) due to internal calculation speed when </t>
    </r>
    <r>
      <rPr>
        <b/>
        <sz val="11"/>
        <color theme="1"/>
        <rFont val="Calibri"/>
        <family val="2"/>
        <scheme val="minor"/>
      </rPr>
      <t>moving average filter is disbabled</t>
    </r>
  </si>
  <si>
    <t>Maximum velocity for period velocity meter (filter)</t>
  </si>
  <si>
    <t>ABN</t>
  </si>
  <si>
    <t>SinCos</t>
  </si>
  <si>
    <t>Analog Hall</t>
  </si>
  <si>
    <t>Hall</t>
  </si>
  <si>
    <t>Scaling factor for frequency velocity meter to get same scaling for both velocity meters, register value:
FEEDBACK.VELOCITY_FRQ_CONF.VELOCITY_SCALING</t>
  </si>
  <si>
    <t>Feedback type options</t>
  </si>
  <si>
    <t>Feedback type (select an option)</t>
  </si>
  <si>
    <t>Used feedback type</t>
  </si>
  <si>
    <t>Internal velocity from period velocity meter. (= "velocity in (rev/sec)" * "Encoder steps per rev" * CPR_INV_x / 256 * 2^24 / clk_freq)</t>
  </si>
  <si>
    <r>
      <t>= 65536</t>
    </r>
    <r>
      <rPr>
        <sz val="11"/>
        <color theme="1"/>
        <rFont val="Calibri"/>
        <family val="2"/>
        <scheme val="minor"/>
      </rPr>
      <t xml:space="preserve"> * CPR_INV_x / 256 * 2^24 / clk_freq / 60</t>
    </r>
  </si>
  <si>
    <r>
      <t>= abn_cpr</t>
    </r>
    <r>
      <rPr>
        <sz val="11"/>
        <color theme="1"/>
        <rFont val="Calibri"/>
        <family val="2"/>
        <scheme val="minor"/>
      </rPr>
      <t xml:space="preserve"> * CPR_INV_x / 256 * 2^24 / clk_freq / 60</t>
    </r>
  </si>
  <si>
    <r>
      <t>= 65536 * pole_pairs</t>
    </r>
    <r>
      <rPr>
        <sz val="11"/>
        <color theme="1"/>
        <rFont val="Calibri"/>
        <family val="2"/>
        <scheme val="minor"/>
      </rPr>
      <t xml:space="preserve"> * CPR_INV_x / 256 * 2^24 / clk_freq / 60</t>
    </r>
  </si>
  <si>
    <r>
      <t>= 6 * pole_pairs</t>
    </r>
    <r>
      <rPr>
        <sz val="11"/>
        <color theme="1"/>
        <rFont val="Calibri"/>
        <family val="2"/>
        <scheme val="minor"/>
      </rPr>
      <t xml:space="preserve"> * CPR_INV_x / 256 * 2^24 / clk_freq / 60</t>
    </r>
  </si>
  <si>
    <r>
      <t>= abn_cpr</t>
    </r>
    <r>
      <rPr>
        <sz val="11"/>
        <color theme="1"/>
        <rFont val="Calibri"/>
        <family val="2"/>
        <scheme val="minor"/>
      </rPr>
      <t xml:space="preserve"> * CPR_INV_x / 256</t>
    </r>
  </si>
  <si>
    <r>
      <t>= 65536</t>
    </r>
    <r>
      <rPr>
        <sz val="11"/>
        <color theme="1"/>
        <rFont val="Calibri"/>
        <family val="2"/>
        <scheme val="minor"/>
      </rPr>
      <t xml:space="preserve"> * CPR_INV_x / 256</t>
    </r>
  </si>
  <si>
    <r>
      <t>= 65536 * pole_pairs</t>
    </r>
    <r>
      <rPr>
        <sz val="11"/>
        <color theme="1"/>
        <rFont val="Calibri"/>
        <family val="2"/>
        <scheme val="minor"/>
      </rPr>
      <t xml:space="preserve"> * CPR_INV_x / 256</t>
    </r>
  </si>
  <si>
    <r>
      <t>= 6 * pole_pairs</t>
    </r>
    <r>
      <rPr>
        <sz val="11"/>
        <color theme="1"/>
        <rFont val="Calibri"/>
        <family val="2"/>
        <scheme val="minor"/>
      </rPr>
      <t xml:space="preserve"> * CPR_INV_x / 256</t>
    </r>
  </si>
  <si>
    <t>= 2^16 * 2^24 * clk_freq / 60 / pole_pairs</t>
  </si>
  <si>
    <t>Defines the calculation update rate for the period velocity meter, register value: FEEDBACK.VELOCITY_PER_CONF.POS_DEV_MIN</t>
  </si>
  <si>
    <t>rev/s</t>
  </si>
  <si>
    <t>Same threshold as above in rpm</t>
  </si>
  <si>
    <t>Veocity Meters Comparison:</t>
  </si>
  <si>
    <t>Internal velocity from frequency velocity meter. (= "velocity in (rev/sec)" * "Encoder steps per rev" * CPR_INV_x / 256 * VELOCITY_SCALING / velocity_update_rate)</t>
  </si>
  <si>
    <r>
      <t>= abn_cpr</t>
    </r>
    <r>
      <rPr>
        <sz val="11"/>
        <color theme="1"/>
        <rFont val="Calibri"/>
        <family val="2"/>
        <scheme val="minor"/>
      </rPr>
      <t xml:space="preserve"> * CPR_INV_x / 256 * velocity_scaling / velocity_update_rate / 60</t>
    </r>
  </si>
  <si>
    <r>
      <t>= 65536</t>
    </r>
    <r>
      <rPr>
        <sz val="11"/>
        <color theme="1"/>
        <rFont val="Calibri"/>
        <family val="2"/>
        <scheme val="minor"/>
      </rPr>
      <t xml:space="preserve"> * CPR_INV_x / 256 * velocity_scaling / velocity_update_rate / 60</t>
    </r>
  </si>
  <si>
    <r>
      <t>= 65536 * pole_pairs</t>
    </r>
    <r>
      <rPr>
        <sz val="11"/>
        <color theme="1"/>
        <rFont val="Calibri"/>
        <family val="2"/>
        <scheme val="minor"/>
      </rPr>
      <t xml:space="preserve"> * CPR_INV_x / 256 * velocity_scaling / velocity_update_rate / 60</t>
    </r>
  </si>
  <si>
    <r>
      <t>= 6 * pole_pairs</t>
    </r>
    <r>
      <rPr>
        <sz val="11"/>
        <color theme="1"/>
        <rFont val="Calibri"/>
        <family val="2"/>
        <scheme val="minor"/>
      </rPr>
      <t xml:space="preserve"> * CPR_INV_x / 256 * velocity_scaling / velocity_update_rate / 60</t>
    </r>
  </si>
  <si>
    <t xml:space="preserve">velocity in rev/s </t>
  </si>
  <si>
    <t>There are two options for velocity measurement, the period velocity meter and the frequency velocity meter:
 - The period velocity meter works by measuring the time elapsed between two feedback input updates.
 - The frequency velocity meter works by measuring the number of feedback input updates in a defined time interval.
Given the different measurement techniques, each meter has a recommended velocity range.
The period velocity meter performs well even for very low velocities, but its noise performance reduces as the velocity increases.
On the other hand, the frequency velocity meter has a relatively constant noise performance, which could be better than that of the period velocity meter at very high velocities.
Both velocity meters are active all the time, but only the output of one of them can be used as input for the velocity controller at a given moment.
However, it is possible to switch between the two meters during operation, allowing to use the best performing one for the actual motor velocity.
To achive this, both velocity meters must have the same scale, which is achieved through the FEEDBACK.VELOCITY_FRQ_CONF.VELOCITY_SCALING register.</t>
  </si>
  <si>
    <t>Equivalet resistance of the low side MOSFETs in mOhm</t>
  </si>
  <si>
    <t>Actual gain factor for the CSA</t>
  </si>
  <si>
    <t>Feedback 16-bit conv. equivalent counts per revolution</t>
  </si>
  <si>
    <t>Number of position changes per revolution equivalent to 16-bit conversion, depends on selected feedback type</t>
  </si>
  <si>
    <r>
      <t xml:space="preserve">Maximum velocity for period velocity meter (period measurement) due to internal calculation speed when </t>
    </r>
    <r>
      <rPr>
        <b/>
        <sz val="11"/>
        <color theme="1"/>
        <rFont val="Calibri"/>
        <family val="2"/>
        <scheme val="minor"/>
      </rPr>
      <t>moving average filter is enabled</t>
    </r>
  </si>
  <si>
    <r>
      <t xml:space="preserve">Different ADC measurements are performed by the IC.
Measurements that are done on external pins work in reference to either of the VCC_IO or VCC_IOF voltage domains and therefore depend on the corresponding voltage divider values as configured in CHIP.IO_CONFIG.ANA_DIV_VCCIO and CHIP.IO_CONFIG.ANA_DIV_VCCIOF.
Other measurements, like the motor supply and internal temperature do not depend on the input voltage dividers.
</t>
    </r>
    <r>
      <rPr>
        <b/>
        <sz val="11"/>
        <color theme="1"/>
        <rFont val="Calibri"/>
        <family val="2"/>
        <scheme val="minor"/>
      </rPr>
      <t>Note:</t>
    </r>
    <r>
      <rPr>
        <sz val="11"/>
        <color theme="1"/>
        <rFont val="Calibri"/>
        <family val="2"/>
        <scheme val="minor"/>
      </rPr>
      <t xml:space="preserve"> even though there are two temperature measuremet registers, only the internal temperature (TEMP_INT) can be directly converted into a temperature value. The external temperature from the TEMP pin on the other hand is converted to a voltage level, as the real temperature would depend on the external hardware connected to the pin, e.g. a temperature sensor, a thermistor, etc.</t>
    </r>
  </si>
  <si>
    <r>
      <t xml:space="preserve">Open loop operation refers to the usage of the internally Ramp generator angle for FOC transformations instead of the real motor angle from a feedback source. Open loop operation is active whenever the Ramp generator module is enabled and the field MCC_CONFIG.MOTOR_MOTION.RAMP_USE_PHI_E is set to 1.
In this mode, the controller assumes (but can't known) that the motor is following the position commanded by the internally generated angle.
This mode is therefore only intended to aid during setup of a real angle feedback source.
</t>
    </r>
    <r>
      <rPr>
        <b/>
        <sz val="11"/>
        <color theme="1"/>
        <rFont val="Calibri"/>
        <family val="2"/>
        <scheme val="minor"/>
      </rPr>
      <t>Note:</t>
    </r>
    <r>
      <rPr>
        <sz val="11"/>
        <color theme="1"/>
        <rFont val="Calibri"/>
        <family val="2"/>
        <scheme val="minor"/>
      </rPr>
      <t xml:space="preserve"> the distinction of electrical vs mechanical revolutions is made in this sheet. Mechanical revolutions refer to the actual motor shaft, whereas electrical revolutions refer to the rotation that occurs between two adjacent pole pairs. For instance, if a motor has a single pole pair, then their mechanical and electrical revolutions are in sync; if another motor has four pole pairs, then the motor rotates four electrical revolutions for each mechanical revolution, and so on.</t>
    </r>
  </si>
  <si>
    <r>
      <t xml:space="preserve">There are two options for velocity measurement, the period velocity meter and the frequency velocity meter.
The frequency velocity meter is recommended for the upper end of velocities, see "Velocity meters comparison" sheet to get an idea of what is meant by 'upper end'.
Both velocity meters are active all the time, but only the output of one of them can be used as input for the velocity controller at a given moment.
However, it is possible to switch between the two meters on-the-fly, allowing to use the best performing one for the actual motor velocity.
To achive this, both velocity meters must have the same scaling, which is achieved through the FEEDBACK.VELOCITY_FRQ_CONF.VELOCITY_SCALING register.
The velocity conversion to real world units depends mainly on the chosen feedback source and its configured scaling value, that is, the values in FEEDBACK.CONF_CH_A/B.SRC_SEL_A/B and FEEDBACK.CONF_CH_A/B.CPR_INV_A/B.
Some other parameters are needed depending the type of feedback and the type of velocity meter, for example the number of motor pole pairs, the encoder's CPR, the current PWM frequency or the velocity controller update rate.
</t>
    </r>
    <r>
      <rPr>
        <b/>
        <sz val="11"/>
        <color theme="1"/>
        <rFont val="Calibri"/>
        <family val="2"/>
        <scheme val="minor"/>
      </rPr>
      <t>Note 1:</t>
    </r>
    <r>
      <rPr>
        <sz val="11"/>
        <color theme="1"/>
        <rFont val="Calibri"/>
        <family val="2"/>
        <scheme val="minor"/>
      </rPr>
      <t xml:space="preserve"> if using an ABN encoder as feedback, any of ABN_1 / ABN_2 / ABN_1_FREE / ABN_2_FREE options of the SRC_SEL_x can be used for velocity measurement, however it is highly recommended to use the _FREE options.
</t>
    </r>
    <r>
      <rPr>
        <b/>
        <sz val="11"/>
        <color theme="1"/>
        <rFont val="Calibri"/>
        <family val="2"/>
        <scheme val="minor"/>
      </rPr>
      <t>Note 2:</t>
    </r>
    <r>
      <rPr>
        <sz val="11"/>
        <color theme="1"/>
        <rFont val="Calibri"/>
        <family val="2"/>
        <scheme val="minor"/>
      </rPr>
      <t xml:space="preserve"> if using a Hall sensor as feedback, use the HALL_FREE option of the SRC_SEL_x for velocity measurement, do not use the HALL option.</t>
    </r>
  </si>
  <si>
    <t>Acceleration is controlled by the Ramp generator module based on the configured feedback.
Ramp acceleration is used in the following registers: RAMPER_{A1, _A2, _A_MAX, _D1, _D2, _D_MAX, _ACCELERATION}.
Formula for acceleration scaling: ramper_acceleration = (velocity_ic_2 - velocity_ic_1) / acc_time * 2^17 / clk_freq
velocity_ic_x: internal velocity value (scaling depends on feedback configuration, see "rpm2ic" factor)
acc_time: the elapsed time between the initial and finial velocities</t>
  </si>
  <si>
    <t>User input: Register value</t>
  </si>
  <si>
    <t>User input: External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</si>
</sst>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
  </numFmts>
  <fonts count="13" x14ac:knownFonts="1">
    <font>
      <sz val="11"/>
      <color theme="1"/>
      <name val="Calibri"/>
      <family val="2"/>
      <scheme val="minor"/>
    </font>
    <font>
      <b/>
      <sz val="11"/>
      <color rgb="FF3F3F3F"/>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sz val="11"/>
      <name val="Calibri"/>
      <family val="2"/>
      <scheme val="minor"/>
    </font>
    <font>
      <i/>
      <sz val="11"/>
      <color rgb="FF7F7F7F"/>
      <name val="Calibri"/>
      <family val="2"/>
      <scheme val="minor"/>
    </font>
    <font>
      <b/>
      <sz val="11"/>
      <name val="Calibri"/>
      <family val="2"/>
      <scheme val="minor"/>
    </font>
    <font>
      <b/>
      <sz val="11"/>
      <color rgb="FFFA7D00"/>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sz val="8"/>
      <name val="Calibri"/>
      <family val="2"/>
      <scheme val="minor"/>
    </font>
  </fonts>
  <fills count="9">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4" tint="0.79998168889431442"/>
        <bgColor indexed="65"/>
      </patternFill>
    </fill>
  </fills>
  <borders count="1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style="thin">
        <color auto="1"/>
      </top>
      <bottom style="thin">
        <color auto="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1">
    <xf numFmtId="0" fontId="0" fillId="0" borderId="0"/>
    <xf numFmtId="0" fontId="1" fillId="2" borderId="2" applyNumberFormat="0" applyAlignment="0" applyProtection="0"/>
    <xf numFmtId="0" fontId="4" fillId="0" borderId="0" applyNumberFormat="0" applyFill="0" applyBorder="0" applyAlignment="0" applyProtection="0"/>
    <xf numFmtId="0" fontId="6" fillId="0" borderId="0" applyNumberFormat="0" applyFill="0" applyBorder="0" applyAlignment="0" applyProtection="0"/>
    <xf numFmtId="0" fontId="8" fillId="2" borderId="1" applyNumberFormat="0" applyAlignment="0" applyProtection="0"/>
    <xf numFmtId="0" fontId="9" fillId="3" borderId="3" applyNumberFormat="0" applyAlignment="0" applyProtection="0"/>
    <xf numFmtId="0" fontId="9" fillId="4" borderId="3" applyNumberFormat="0" applyAlignment="0" applyProtection="0"/>
    <xf numFmtId="0" fontId="2" fillId="5" borderId="3" applyNumberFormat="0" applyAlignment="0" applyProtection="0"/>
    <xf numFmtId="0" fontId="2" fillId="6" borderId="3" applyNumberFormat="0" applyAlignment="0" applyProtection="0"/>
    <xf numFmtId="0" fontId="9" fillId="7" borderId="0" applyNumberFormat="0" applyBorder="0" applyAlignment="0" applyProtection="0"/>
    <xf numFmtId="0" fontId="9" fillId="8" borderId="0" applyNumberFormat="0" applyBorder="0" applyAlignment="0" applyProtection="0"/>
  </cellStyleXfs>
  <cellXfs count="70">
    <xf numFmtId="0" fontId="0" fillId="0" borderId="0" xfId="0"/>
    <xf numFmtId="0" fontId="2" fillId="0" borderId="0" xfId="0" applyFont="1"/>
    <xf numFmtId="0" fontId="3" fillId="0" borderId="0" xfId="2" applyFont="1"/>
    <xf numFmtId="0" fontId="6" fillId="0" borderId="0" xfId="3"/>
    <xf numFmtId="0" fontId="8" fillId="2" borderId="1" xfId="4"/>
    <xf numFmtId="0" fontId="9" fillId="7" borderId="1" xfId="9" applyBorder="1"/>
    <xf numFmtId="0" fontId="9" fillId="3" borderId="1" xfId="5" applyBorder="1"/>
    <xf numFmtId="0" fontId="9" fillId="3" borderId="3" xfId="5"/>
    <xf numFmtId="0" fontId="9" fillId="4" borderId="3" xfId="6"/>
    <xf numFmtId="0" fontId="2" fillId="5" borderId="2" xfId="7" applyBorder="1"/>
    <xf numFmtId="0" fontId="2" fillId="6" borderId="3" xfId="8"/>
    <xf numFmtId="0" fontId="2" fillId="5" borderId="3" xfId="7" applyNumberFormat="1"/>
    <xf numFmtId="0" fontId="2" fillId="6" borderId="3" xfId="8" applyNumberFormat="1"/>
    <xf numFmtId="0" fontId="2" fillId="0" borderId="4" xfId="0" applyFont="1" applyBorder="1"/>
    <xf numFmtId="0" fontId="2" fillId="0" borderId="5" xfId="0" applyFont="1" applyBorder="1"/>
    <xf numFmtId="0" fontId="0" fillId="0" borderId="4" xfId="0" applyBorder="1"/>
    <xf numFmtId="0" fontId="0" fillId="0" borderId="5" xfId="0" applyBorder="1" applyAlignment="1">
      <alignment wrapText="1"/>
    </xf>
    <xf numFmtId="0" fontId="0" fillId="0" borderId="5" xfId="0" applyBorder="1"/>
    <xf numFmtId="2" fontId="2" fillId="5" borderId="3" xfId="7" applyNumberFormat="1"/>
    <xf numFmtId="0" fontId="0" fillId="0" borderId="6" xfId="0" applyBorder="1"/>
    <xf numFmtId="0" fontId="0" fillId="0" borderId="7" xfId="0" applyBorder="1"/>
    <xf numFmtId="0" fontId="0" fillId="0" borderId="8" xfId="0" applyBorder="1"/>
    <xf numFmtId="0" fontId="0" fillId="0" borderId="11" xfId="0" applyBorder="1"/>
    <xf numFmtId="0" fontId="9" fillId="3" borderId="12" xfId="5" applyBorder="1"/>
    <xf numFmtId="0" fontId="9" fillId="3" borderId="3" xfId="5" applyNumberFormat="1"/>
    <xf numFmtId="0" fontId="5" fillId="0" borderId="8" xfId="0" applyFont="1" applyBorder="1"/>
    <xf numFmtId="0" fontId="4" fillId="0" borderId="5" xfId="2" applyBorder="1"/>
    <xf numFmtId="0" fontId="9" fillId="4" borderId="3" xfId="6" applyNumberFormat="1"/>
    <xf numFmtId="0" fontId="10" fillId="0" borderId="11" xfId="0" applyFont="1" applyBorder="1"/>
    <xf numFmtId="0" fontId="2" fillId="0" borderId="11" xfId="0" applyFont="1" applyBorder="1"/>
    <xf numFmtId="0" fontId="0" fillId="0" borderId="15" xfId="0" applyBorder="1"/>
    <xf numFmtId="0" fontId="0" fillId="0" borderId="14" xfId="0" applyBorder="1"/>
    <xf numFmtId="0" fontId="2" fillId="0" borderId="13" xfId="0" applyFont="1" applyBorder="1"/>
    <xf numFmtId="0" fontId="2" fillId="0" borderId="14" xfId="0" applyFont="1" applyBorder="1"/>
    <xf numFmtId="0" fontId="0" fillId="0" borderId="13" xfId="0" applyBorder="1"/>
    <xf numFmtId="164" fontId="8" fillId="2" borderId="1" xfId="4" applyNumberFormat="1"/>
    <xf numFmtId="0" fontId="2" fillId="0" borderId="15" xfId="0" applyFont="1" applyBorder="1"/>
    <xf numFmtId="0" fontId="2" fillId="0" borderId="5" xfId="0" quotePrefix="1" applyFont="1" applyBorder="1"/>
    <xf numFmtId="164" fontId="2" fillId="5" borderId="3" xfId="7" applyNumberFormat="1"/>
    <xf numFmtId="0" fontId="0" fillId="0" borderId="9" xfId="0" applyBorder="1"/>
    <xf numFmtId="0" fontId="0" fillId="0" borderId="10" xfId="0" applyBorder="1"/>
    <xf numFmtId="0" fontId="2" fillId="0" borderId="9" xfId="0" applyFont="1" applyBorder="1"/>
    <xf numFmtId="0" fontId="2" fillId="0" borderId="10" xfId="0" applyFont="1" applyBorder="1"/>
    <xf numFmtId="0" fontId="10" fillId="0" borderId="9" xfId="0" applyFont="1" applyBorder="1"/>
    <xf numFmtId="2" fontId="8" fillId="2" borderId="1" xfId="4" applyNumberFormat="1"/>
    <xf numFmtId="164" fontId="9" fillId="4" borderId="3" xfId="6" applyNumberFormat="1"/>
    <xf numFmtId="0" fontId="10" fillId="0" borderId="0" xfId="0" applyFont="1"/>
    <xf numFmtId="0" fontId="5" fillId="0" borderId="5" xfId="0" applyFont="1" applyBorder="1"/>
    <xf numFmtId="0" fontId="10" fillId="0" borderId="13" xfId="0" applyFont="1" applyBorder="1"/>
    <xf numFmtId="0" fontId="0" fillId="0" borderId="0" xfId="0" applyAlignment="1">
      <alignment horizontal="left"/>
    </xf>
    <xf numFmtId="0" fontId="11" fillId="0" borderId="14" xfId="0" applyFont="1" applyBorder="1"/>
    <xf numFmtId="0" fontId="11" fillId="0" borderId="10" xfId="0" applyFont="1" applyBorder="1"/>
    <xf numFmtId="0" fontId="2" fillId="5" borderId="3" xfId="7"/>
    <xf numFmtId="0" fontId="9" fillId="8" borderId="10" xfId="10" applyBorder="1"/>
    <xf numFmtId="0" fontId="9" fillId="8" borderId="0" xfId="10"/>
    <xf numFmtId="0" fontId="9" fillId="8" borderId="14" xfId="10" applyBorder="1"/>
    <xf numFmtId="0" fontId="9" fillId="8" borderId="0" xfId="10" applyBorder="1"/>
    <xf numFmtId="0" fontId="11" fillId="0" borderId="0" xfId="0" applyFont="1"/>
    <xf numFmtId="0" fontId="0" fillId="0" borderId="5" xfId="0" quotePrefix="1" applyBorder="1"/>
    <xf numFmtId="165" fontId="2" fillId="5" borderId="3" xfId="7" applyNumberFormat="1"/>
    <xf numFmtId="165" fontId="9" fillId="4" borderId="3" xfId="6" applyNumberFormat="1"/>
    <xf numFmtId="0" fontId="10" fillId="0" borderId="10" xfId="0" applyFont="1" applyBorder="1"/>
    <xf numFmtId="0" fontId="10" fillId="0" borderId="14" xfId="0" applyFont="1" applyBorder="1"/>
    <xf numFmtId="0" fontId="8" fillId="2" borderId="1" xfId="4" applyNumberFormat="1"/>
    <xf numFmtId="0" fontId="9" fillId="7" borderId="14" xfId="9" applyBorder="1" applyAlignment="1">
      <alignment horizontal="right"/>
    </xf>
    <xf numFmtId="0" fontId="1" fillId="2" borderId="2" xfId="1"/>
    <xf numFmtId="0" fontId="7" fillId="0" borderId="4" xfId="0" applyFont="1" applyBorder="1"/>
    <xf numFmtId="0" fontId="0" fillId="0" borderId="9"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cellXfs>
  <cellStyles count="11">
    <cellStyle name="20% - Accent1" xfId="10" builtinId="30"/>
    <cellStyle name="20% - Accent2" xfId="5" builtinId="34" customBuiltin="1"/>
    <cellStyle name="20% - Accent3" xfId="7" builtinId="38" customBuiltin="1"/>
    <cellStyle name="20% - Accent4" xfId="9" builtinId="42"/>
    <cellStyle name="40% - Accent2" xfId="6" builtinId="35" customBuiltin="1"/>
    <cellStyle name="40% - Accent3" xfId="8" builtinId="39" customBuiltin="1"/>
    <cellStyle name="Calculation" xfId="4" builtinId="22"/>
    <cellStyle name="Explanatory Text" xfId="3" builtinId="53"/>
    <cellStyle name="Normal" xfId="0" builtinId="0"/>
    <cellStyle name="Output" xfId="1" builtinId="21"/>
    <cellStyle name="Warning Text" xfId="2" builtinId="11"/>
  </cellStyles>
  <dxfs count="2">
    <dxf>
      <font>
        <color rgb="FFC00000"/>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Period velocity meter</c:v>
          </c:tx>
          <c:spPr>
            <a:ln w="28575" cap="rnd">
              <a:solidFill>
                <a:schemeClr val="accent1"/>
              </a:solidFill>
              <a:round/>
            </a:ln>
            <a:effectLst/>
          </c:spPr>
          <c:marker>
            <c:symbol val="none"/>
          </c:marker>
          <c:cat>
            <c:numRef>
              <c:f>'Velocity meters comparison'!$H$31:$H$96</c:f>
              <c:numCache>
                <c:formatCode>General</c:formatCode>
                <c:ptCount val="66"/>
                <c:pt idx="0">
                  <c:v>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numCache>
            </c:numRef>
          </c:cat>
          <c:val>
            <c:numRef>
              <c:f>'Velocity meters comparison'!$I$31:$I$96</c:f>
              <c:numCache>
                <c:formatCode>General</c:formatCode>
                <c:ptCount val="66"/>
                <c:pt idx="0">
                  <c:v>0</c:v>
                </c:pt>
                <c:pt idx="1">
                  <c:v>3.4121686464353503E-3</c:v>
                </c:pt>
                <c:pt idx="2">
                  <c:v>1.3644019016351504E-2</c:v>
                </c:pt>
                <c:pt idx="3">
                  <c:v>3.0688574899303114E-2</c:v>
                </c:pt>
                <c:pt idx="4">
                  <c:v>5.4538869596710622E-2</c:v>
                </c:pt>
                <c:pt idx="5">
                  <c:v>8.5187945905654344E-2</c:v>
                </c:pt>
                <c:pt idx="6">
                  <c:v>0.12262885610270166</c:v>
                </c:pt>
                <c:pt idx="7">
                  <c:v>0.16685466192776727</c:v>
                </c:pt>
                <c:pt idx="8">
                  <c:v>0.2178584345680063</c:v>
                </c:pt>
                <c:pt idx="9">
                  <c:v>0.2756332546417406</c:v>
                </c:pt>
                <c:pt idx="10">
                  <c:v>0.34017221218241733</c:v>
                </c:pt>
                <c:pt idx="11">
                  <c:v>0.41146840662260104</c:v>
                </c:pt>
                <c:pt idx="12">
                  <c:v>0.48951494677799734</c:v>
                </c:pt>
                <c:pt idx="13">
                  <c:v>0.57430495083151034</c:v>
                </c:pt>
                <c:pt idx="14">
                  <c:v>0.66583154631733155</c:v>
                </c:pt>
                <c:pt idx="15">
                  <c:v>0.76408787010506207</c:v>
                </c:pt>
                <c:pt idx="16">
                  <c:v>0.86906706838386627</c:v>
                </c:pt>
                <c:pt idx="17">
                  <c:v>0.98076229664665837</c:v>
                </c:pt>
                <c:pt idx="18">
                  <c:v>1.0991667196743209</c:v>
                </c:pt>
                <c:pt idx="19">
                  <c:v>1.2242735115199559</c:v>
                </c:pt>
                <c:pt idx="20">
                  <c:v>1.3560758554931667</c:v>
                </c:pt>
                <c:pt idx="21">
                  <c:v>1.4945669441443732</c:v>
                </c:pt>
                <c:pt idx="22">
                  <c:v>1.6397399792491583</c:v>
                </c:pt>
                <c:pt idx="23">
                  <c:v>1.7915881717926465</c:v>
                </c:pt>
                <c:pt idx="24">
                  <c:v>1.9501047419539135</c:v>
                </c:pt>
                <c:pt idx="25">
                  <c:v>2.1152829190904283</c:v>
                </c:pt>
                <c:pt idx="26">
                  <c:v>2.2871159417225266</c:v>
                </c:pt>
                <c:pt idx="27">
                  <c:v>2.4655970575179147</c:v>
                </c:pt>
                <c:pt idx="28">
                  <c:v>2.6507195232762082</c:v>
                </c:pt>
                <c:pt idx="29">
                  <c:v>2.8424766049134962</c:v>
                </c:pt>
                <c:pt idx="30">
                  <c:v>3.0408615774469432</c:v>
                </c:pt>
                <c:pt idx="31">
                  <c:v>3.2458677249794179</c:v>
                </c:pt>
                <c:pt idx="32">
                  <c:v>3.4574883406841539</c:v>
                </c:pt>
                <c:pt idx="33">
                  <c:v>3.6757167267894437</c:v>
                </c:pt>
                <c:pt idx="34">
                  <c:v>3.9005461945633608</c:v>
                </c:pt>
                <c:pt idx="35">
                  <c:v>4.131970064298514</c:v>
                </c:pt>
                <c:pt idx="36">
                  <c:v>4.3699816652968329</c:v>
                </c:pt>
                <c:pt idx="37">
                  <c:v>4.6145743358543827</c:v>
                </c:pt>
                <c:pt idx="38">
                  <c:v>4.8657414232462148</c:v>
                </c:pt>
                <c:pt idx="39">
                  <c:v>5.123476283711236</c:v>
                </c:pt>
                <c:pt idx="40">
                  <c:v>5.3877722824371252</c:v>
                </c:pt>
                <c:pt idx="41">
                  <c:v>5.6586227935452653</c:v>
                </c:pt>
                <c:pt idx="42">
                  <c:v>5.9360212000757144</c:v>
                </c:pt>
                <c:pt idx="43">
                  <c:v>6.2199608939722051</c:v>
                </c:pt>
                <c:pt idx="44">
                  <c:v>6.5104352760671729</c:v>
                </c:pt>
                <c:pt idx="45">
                  <c:v>6.8074377560668138</c:v>
                </c:pt>
                <c:pt idx="46">
                  <c:v>7.1109617525361788</c:v>
                </c:pt>
                <c:pt idx="47">
                  <c:v>7.421000692884288</c:v>
                </c:pt>
                <c:pt idx="48">
                  <c:v>7.7375480133492855</c:v>
                </c:pt>
                <c:pt idx="49">
                  <c:v>8.0605971589836134</c:v>
                </c:pt>
                <c:pt idx="50">
                  <c:v>8.3901415836392239</c:v>
                </c:pt>
                <c:pt idx="51">
                  <c:v>8.7261747499528219</c:v>
                </c:pt>
                <c:pt idx="52">
                  <c:v>9.0686901293311255</c:v>
                </c:pt>
                <c:pt idx="53">
                  <c:v>9.4176812019361726</c:v>
                </c:pt>
                <c:pt idx="54">
                  <c:v>9.7731414566706469</c:v>
                </c:pt>
                <c:pt idx="55">
                  <c:v>10.13506439116323</c:v>
                </c:pt>
                <c:pt idx="56">
                  <c:v>10.503443511753993</c:v>
                </c:pt>
                <c:pt idx="57">
                  <c:v>10.878272333479817</c:v>
                </c:pt>
                <c:pt idx="58">
                  <c:v>11.259544380059829</c:v>
                </c:pt>
                <c:pt idx="59">
                  <c:v>11.647253183880885</c:v>
                </c:pt>
                <c:pt idx="60">
                  <c:v>12.041392285983067</c:v>
                </c:pt>
                <c:pt idx="61">
                  <c:v>12.441955236045224</c:v>
                </c:pt>
                <c:pt idx="62">
                  <c:v>12.848935592370527</c:v>
                </c:pt>
                <c:pt idx="63">
                  <c:v>13.262326921872063</c:v>
                </c:pt>
                <c:pt idx="64">
                  <c:v>13.682122800058456</c:v>
                </c:pt>
                <c:pt idx="65">
                  <c:v>14.108316811019513</c:v>
                </c:pt>
              </c:numCache>
            </c:numRef>
          </c:val>
          <c:smooth val="0"/>
          <c:extLst>
            <c:ext xmlns:c16="http://schemas.microsoft.com/office/drawing/2014/chart" uri="{C3380CC4-5D6E-409C-BE32-E72D297353CC}">
              <c16:uniqueId val="{00000000-39F6-4C5B-BCAD-54086DCC44FC}"/>
            </c:ext>
          </c:extLst>
        </c:ser>
        <c:ser>
          <c:idx val="1"/>
          <c:order val="1"/>
          <c:tx>
            <c:v>Frequency velocity Meter</c:v>
          </c:tx>
          <c:spPr>
            <a:ln w="28575" cap="rnd">
              <a:solidFill>
                <a:schemeClr val="accent2"/>
              </a:solidFill>
              <a:round/>
            </a:ln>
            <a:effectLst/>
          </c:spPr>
          <c:marker>
            <c:symbol val="none"/>
          </c:marker>
          <c:cat>
            <c:numRef>
              <c:f>'Velocity meters comparison'!$H$31:$H$96</c:f>
              <c:numCache>
                <c:formatCode>General</c:formatCode>
                <c:ptCount val="66"/>
                <c:pt idx="0">
                  <c:v>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numCache>
            </c:numRef>
          </c:cat>
          <c:val>
            <c:numRef>
              <c:f>'Velocity meters comparison'!$J$31:$J$96</c:f>
              <c:numCache>
                <c:formatCode>General</c:formatCode>
                <c:ptCount val="66"/>
                <c:pt idx="0">
                  <c:v>6.103515625</c:v>
                </c:pt>
                <c:pt idx="1">
                  <c:v>6.103515625</c:v>
                </c:pt>
                <c:pt idx="2">
                  <c:v>6.103515625</c:v>
                </c:pt>
                <c:pt idx="3">
                  <c:v>6.103515625</c:v>
                </c:pt>
                <c:pt idx="4">
                  <c:v>6.103515625</c:v>
                </c:pt>
                <c:pt idx="5">
                  <c:v>6.103515625</c:v>
                </c:pt>
                <c:pt idx="6">
                  <c:v>6.103515625</c:v>
                </c:pt>
                <c:pt idx="7">
                  <c:v>6.103515625</c:v>
                </c:pt>
                <c:pt idx="8">
                  <c:v>6.103515625</c:v>
                </c:pt>
                <c:pt idx="9">
                  <c:v>6.103515625</c:v>
                </c:pt>
                <c:pt idx="10">
                  <c:v>6.103515625</c:v>
                </c:pt>
                <c:pt idx="11">
                  <c:v>6.103515625</c:v>
                </c:pt>
                <c:pt idx="12">
                  <c:v>6.103515625</c:v>
                </c:pt>
                <c:pt idx="13">
                  <c:v>6.103515625</c:v>
                </c:pt>
                <c:pt idx="14">
                  <c:v>6.103515625</c:v>
                </c:pt>
                <c:pt idx="15">
                  <c:v>6.103515625</c:v>
                </c:pt>
                <c:pt idx="16">
                  <c:v>6.103515625</c:v>
                </c:pt>
                <c:pt idx="17">
                  <c:v>6.103515625</c:v>
                </c:pt>
                <c:pt idx="18">
                  <c:v>6.103515625</c:v>
                </c:pt>
                <c:pt idx="19">
                  <c:v>6.103515625</c:v>
                </c:pt>
                <c:pt idx="20">
                  <c:v>6.103515625</c:v>
                </c:pt>
                <c:pt idx="21">
                  <c:v>6.103515625</c:v>
                </c:pt>
                <c:pt idx="22">
                  <c:v>6.103515625</c:v>
                </c:pt>
                <c:pt idx="23">
                  <c:v>6.103515625</c:v>
                </c:pt>
                <c:pt idx="24">
                  <c:v>6.103515625</c:v>
                </c:pt>
                <c:pt idx="25">
                  <c:v>6.103515625</c:v>
                </c:pt>
                <c:pt idx="26">
                  <c:v>6.103515625</c:v>
                </c:pt>
                <c:pt idx="27">
                  <c:v>6.103515625</c:v>
                </c:pt>
                <c:pt idx="28">
                  <c:v>6.103515625</c:v>
                </c:pt>
                <c:pt idx="29">
                  <c:v>6.103515625</c:v>
                </c:pt>
                <c:pt idx="30">
                  <c:v>6.103515625</c:v>
                </c:pt>
                <c:pt idx="31">
                  <c:v>6.103515625</c:v>
                </c:pt>
                <c:pt idx="32">
                  <c:v>6.103515625</c:v>
                </c:pt>
                <c:pt idx="33">
                  <c:v>6.103515625</c:v>
                </c:pt>
                <c:pt idx="34">
                  <c:v>6.103515625</c:v>
                </c:pt>
                <c:pt idx="35">
                  <c:v>6.103515625</c:v>
                </c:pt>
                <c:pt idx="36">
                  <c:v>6.103515625</c:v>
                </c:pt>
                <c:pt idx="37">
                  <c:v>6.103515625</c:v>
                </c:pt>
                <c:pt idx="38">
                  <c:v>6.103515625</c:v>
                </c:pt>
                <c:pt idx="39">
                  <c:v>6.103515625</c:v>
                </c:pt>
                <c:pt idx="40">
                  <c:v>6.103515625</c:v>
                </c:pt>
                <c:pt idx="41">
                  <c:v>6.103515625</c:v>
                </c:pt>
                <c:pt idx="42">
                  <c:v>6.103515625</c:v>
                </c:pt>
                <c:pt idx="43">
                  <c:v>6.103515625</c:v>
                </c:pt>
                <c:pt idx="44">
                  <c:v>6.103515625</c:v>
                </c:pt>
                <c:pt idx="45">
                  <c:v>6.103515625</c:v>
                </c:pt>
                <c:pt idx="46">
                  <c:v>6.103515625</c:v>
                </c:pt>
                <c:pt idx="47">
                  <c:v>6.103515625</c:v>
                </c:pt>
                <c:pt idx="48">
                  <c:v>6.103515625</c:v>
                </c:pt>
                <c:pt idx="49">
                  <c:v>6.103515625</c:v>
                </c:pt>
                <c:pt idx="50">
                  <c:v>6.103515625</c:v>
                </c:pt>
                <c:pt idx="51">
                  <c:v>6.103515625</c:v>
                </c:pt>
                <c:pt idx="52">
                  <c:v>6.103515625</c:v>
                </c:pt>
                <c:pt idx="53">
                  <c:v>6.103515625</c:v>
                </c:pt>
                <c:pt idx="54">
                  <c:v>6.103515625</c:v>
                </c:pt>
                <c:pt idx="55">
                  <c:v>6.103515625</c:v>
                </c:pt>
                <c:pt idx="56">
                  <c:v>6.103515625</c:v>
                </c:pt>
                <c:pt idx="57">
                  <c:v>6.103515625</c:v>
                </c:pt>
                <c:pt idx="58">
                  <c:v>6.103515625</c:v>
                </c:pt>
                <c:pt idx="59">
                  <c:v>6.103515625</c:v>
                </c:pt>
                <c:pt idx="60">
                  <c:v>6.103515625</c:v>
                </c:pt>
                <c:pt idx="61">
                  <c:v>6.103515625</c:v>
                </c:pt>
                <c:pt idx="62">
                  <c:v>6.103515625</c:v>
                </c:pt>
                <c:pt idx="63">
                  <c:v>6.103515625</c:v>
                </c:pt>
                <c:pt idx="64">
                  <c:v>6.103515625</c:v>
                </c:pt>
                <c:pt idx="65">
                  <c:v>6.103515625</c:v>
                </c:pt>
              </c:numCache>
            </c:numRef>
          </c:val>
          <c:smooth val="0"/>
          <c:extLst>
            <c:ext xmlns:c16="http://schemas.microsoft.com/office/drawing/2014/chart" uri="{C3380CC4-5D6E-409C-BE32-E72D297353CC}">
              <c16:uniqueId val="{00000001-39F6-4C5B-BCAD-54086DCC44FC}"/>
            </c:ext>
          </c:extLst>
        </c:ser>
        <c:dLbls>
          <c:showLegendKey val="0"/>
          <c:showVal val="0"/>
          <c:showCatName val="0"/>
          <c:showSerName val="0"/>
          <c:showPercent val="0"/>
          <c:showBubbleSize val="0"/>
        </c:dLbls>
        <c:smooth val="0"/>
        <c:axId val="567672063"/>
        <c:axId val="1375353760"/>
      </c:lineChart>
      <c:catAx>
        <c:axId val="56767206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Motor</a:t>
                </a:r>
                <a:r>
                  <a:rPr lang="en-US" baseline="0"/>
                  <a:t> v</a:t>
                </a:r>
                <a:r>
                  <a:rPr lang="en-150"/>
                  <a:t>elocity in rev/sec</a:t>
                </a:r>
                <a:endParaRPr lang="de-DE"/>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150"/>
          </a:p>
        </c:txPr>
        <c:crossAx val="1375353760"/>
        <c:crosses val="autoZero"/>
        <c:auto val="1"/>
        <c:lblAlgn val="ctr"/>
        <c:lblOffset val="100"/>
        <c:noMultiLvlLbl val="0"/>
      </c:catAx>
      <c:valAx>
        <c:axId val="13753537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150" baseline="0"/>
                  <a:t>Velocity resolution in rev/sec</a:t>
                </a:r>
                <a:endParaRPr lang="de-DE"/>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150"/>
          </a:p>
        </c:txPr>
        <c:crossAx val="5676720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150"/>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150"/>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0</xdr:colOff>
      <xdr:row>29</xdr:row>
      <xdr:rowOff>4761</xdr:rowOff>
    </xdr:from>
    <xdr:to>
      <xdr:col>4</xdr:col>
      <xdr:colOff>4581525</xdr:colOff>
      <xdr:row>44</xdr:row>
      <xdr:rowOff>0</xdr:rowOff>
    </xdr:to>
    <xdr:graphicFrame macro="">
      <xdr:nvGraphicFramePr>
        <xdr:cNvPr id="2" name="Chart 1">
          <a:extLst>
            <a:ext uri="{FF2B5EF4-FFF2-40B4-BE49-F238E27FC236}">
              <a16:creationId xmlns:a16="http://schemas.microsoft.com/office/drawing/2014/main" id="{37A99A1C-E620-4934-87AD-6B920B99C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A982B-E933-4AC1-BB7D-763281BA695C}">
  <dimension ref="B2:E56"/>
  <sheetViews>
    <sheetView tabSelected="1" zoomScaleNormal="100" workbookViewId="0"/>
  </sheetViews>
  <sheetFormatPr defaultColWidth="23.5703125" defaultRowHeight="15" x14ac:dyDescent="0.25"/>
  <cols>
    <col min="1" max="1" width="2.85546875" customWidth="1"/>
    <col min="2" max="2" width="29.140625" customWidth="1"/>
    <col min="3" max="3" width="10.85546875" customWidth="1"/>
    <col min="4" max="4" width="8.28515625" customWidth="1"/>
    <col min="5" max="5" width="90.28515625" bestFit="1" customWidth="1"/>
    <col min="6" max="6" width="23.5703125" customWidth="1"/>
  </cols>
  <sheetData>
    <row r="2" spans="2:5" ht="15.75" x14ac:dyDescent="0.25">
      <c r="B2" s="43" t="s">
        <v>0</v>
      </c>
      <c r="C2" s="51"/>
      <c r="D2" s="51"/>
      <c r="E2" s="22"/>
    </row>
    <row r="3" spans="2:5" ht="121.5" customHeight="1" x14ac:dyDescent="0.25">
      <c r="B3" s="67" t="s">
        <v>245</v>
      </c>
      <c r="C3" s="68"/>
      <c r="D3" s="68"/>
      <c r="E3" s="69"/>
    </row>
    <row r="6" spans="2:5" ht="15.75" x14ac:dyDescent="0.25">
      <c r="B6" s="43" t="s">
        <v>1</v>
      </c>
      <c r="C6" s="61"/>
      <c r="D6" s="61"/>
      <c r="E6" s="28"/>
    </row>
    <row r="7" spans="2:5" x14ac:dyDescent="0.25">
      <c r="B7" s="41" t="s">
        <v>2</v>
      </c>
      <c r="C7" s="42" t="s">
        <v>3</v>
      </c>
      <c r="D7" s="42" t="s">
        <v>4</v>
      </c>
      <c r="E7" s="29" t="s">
        <v>5</v>
      </c>
    </row>
    <row r="8" spans="2:5" x14ac:dyDescent="0.25">
      <c r="B8" s="34" t="s">
        <v>6</v>
      </c>
      <c r="C8" s="55">
        <v>16</v>
      </c>
      <c r="D8" s="31" t="s">
        <v>7</v>
      </c>
      <c r="E8" s="30" t="s">
        <v>8</v>
      </c>
    </row>
    <row r="9" spans="2:5" x14ac:dyDescent="0.25">
      <c r="B9" s="15" t="s">
        <v>9</v>
      </c>
      <c r="C9" s="56">
        <v>1.25</v>
      </c>
      <c r="D9" t="s">
        <v>10</v>
      </c>
      <c r="E9" s="17" t="s">
        <v>11</v>
      </c>
    </row>
    <row r="10" spans="2:5" x14ac:dyDescent="0.25">
      <c r="B10" s="15" t="s">
        <v>12</v>
      </c>
      <c r="C10" s="6">
        <v>0</v>
      </c>
      <c r="D10" t="s">
        <v>13</v>
      </c>
      <c r="E10" s="17" t="s">
        <v>14</v>
      </c>
    </row>
    <row r="11" spans="2:5" x14ac:dyDescent="0.25">
      <c r="B11" s="19" t="s">
        <v>15</v>
      </c>
      <c r="C11" s="23">
        <v>0</v>
      </c>
      <c r="D11" s="20" t="s">
        <v>13</v>
      </c>
      <c r="E11" s="21" t="s">
        <v>16</v>
      </c>
    </row>
    <row r="14" spans="2:5" ht="15.75" x14ac:dyDescent="0.25">
      <c r="B14" s="43" t="s">
        <v>17</v>
      </c>
      <c r="C14" s="61"/>
      <c r="D14" s="61"/>
      <c r="E14" s="22"/>
    </row>
    <row r="15" spans="2:5" x14ac:dyDescent="0.25">
      <c r="B15" s="41" t="s">
        <v>2</v>
      </c>
      <c r="C15" s="42" t="s">
        <v>3</v>
      </c>
      <c r="D15" s="42" t="s">
        <v>4</v>
      </c>
      <c r="E15" s="29" t="s">
        <v>5</v>
      </c>
    </row>
    <row r="16" spans="2:5" x14ac:dyDescent="0.25">
      <c r="B16" s="15"/>
      <c r="E16" s="17"/>
    </row>
    <row r="17" spans="2:5" x14ac:dyDescent="0.25">
      <c r="B17" s="13" t="s">
        <v>18</v>
      </c>
      <c r="E17" s="17"/>
    </row>
    <row r="18" spans="2:5" x14ac:dyDescent="0.25">
      <c r="B18" s="15" t="s">
        <v>19</v>
      </c>
      <c r="C18" s="35">
        <f>POWER(2,($C$8-1)) / $C$9 / 287*9</f>
        <v>822.05435540069686</v>
      </c>
      <c r="D18" t="s">
        <v>20</v>
      </c>
      <c r="E18" s="37" t="s">
        <v>21</v>
      </c>
    </row>
    <row r="19" spans="2:5" x14ac:dyDescent="0.25">
      <c r="B19" s="15" t="s">
        <v>22</v>
      </c>
      <c r="C19" s="35" cm="1">
        <f t="array" ref="C19">POWER(2,($C$8-1)) / $C$9 / _xlfn.SWITCH($C$10,0,4.5, 1,3, 2,2.2, 3,1)</f>
        <v>5825.4222222222224</v>
      </c>
      <c r="D19" t="s">
        <v>20</v>
      </c>
      <c r="E19" s="58" t="s">
        <v>23</v>
      </c>
    </row>
    <row r="20" spans="2:5" x14ac:dyDescent="0.25">
      <c r="B20" s="15" t="s">
        <v>24</v>
      </c>
      <c r="C20" s="35" cm="1">
        <f t="array" ref="C20">POWER(2,($C$8-1)) / $C$9 / _xlfn.SWITCH($C$10,0,4.5, 1,3, 2,2.2, 3,1)</f>
        <v>5825.4222222222224</v>
      </c>
      <c r="D20" t="s">
        <v>20</v>
      </c>
      <c r="E20" s="58" t="s">
        <v>23</v>
      </c>
    </row>
    <row r="21" spans="2:5" x14ac:dyDescent="0.25">
      <c r="B21" s="15" t="s">
        <v>25</v>
      </c>
      <c r="C21" s="35" cm="1">
        <f t="array" ref="C21">POWER(2,($C$8-1)) / $C$9 / _xlfn.SWITCH($C$11,0,4.5, 1,3, 2,2.2, 3,1)</f>
        <v>5825.4222222222224</v>
      </c>
      <c r="D21" t="s">
        <v>20</v>
      </c>
      <c r="E21" s="58" t="s">
        <v>26</v>
      </c>
    </row>
    <row r="22" spans="2:5" x14ac:dyDescent="0.25">
      <c r="B22" s="15"/>
      <c r="E22" s="17"/>
    </row>
    <row r="23" spans="2:5" x14ac:dyDescent="0.25">
      <c r="B23" s="13" t="s">
        <v>27</v>
      </c>
      <c r="E23" s="17"/>
    </row>
    <row r="24" spans="2:5" x14ac:dyDescent="0.25">
      <c r="B24" s="15" t="s">
        <v>28</v>
      </c>
      <c r="C24" s="7">
        <v>32767</v>
      </c>
      <c r="D24" t="s">
        <v>13</v>
      </c>
      <c r="E24" s="17" t="s">
        <v>29</v>
      </c>
    </row>
    <row r="25" spans="2:5" x14ac:dyDescent="0.25">
      <c r="B25" s="15" t="s">
        <v>30</v>
      </c>
      <c r="C25" s="38">
        <f>$C$24 /C18</f>
        <v>39.859894646538628</v>
      </c>
      <c r="D25" t="s">
        <v>10</v>
      </c>
      <c r="E25" s="17" t="s">
        <v>31</v>
      </c>
    </row>
    <row r="26" spans="2:5" x14ac:dyDescent="0.25">
      <c r="B26" s="15" t="s">
        <v>32</v>
      </c>
      <c r="C26" s="38">
        <f t="shared" ref="C26:C28" si="0">$C$24 /C19</f>
        <v>5.6248283386230469</v>
      </c>
      <c r="D26" t="s">
        <v>10</v>
      </c>
      <c r="E26" s="16" t="s">
        <v>33</v>
      </c>
    </row>
    <row r="27" spans="2:5" x14ac:dyDescent="0.25">
      <c r="B27" s="15" t="s">
        <v>34</v>
      </c>
      <c r="C27" s="38">
        <f t="shared" si="0"/>
        <v>5.6248283386230469</v>
      </c>
      <c r="D27" t="s">
        <v>10</v>
      </c>
      <c r="E27" s="17" t="s">
        <v>35</v>
      </c>
    </row>
    <row r="28" spans="2:5" x14ac:dyDescent="0.25">
      <c r="B28" s="15" t="s">
        <v>36</v>
      </c>
      <c r="C28" s="38">
        <f t="shared" si="0"/>
        <v>5.6248283386230469</v>
      </c>
      <c r="D28" t="s">
        <v>10</v>
      </c>
      <c r="E28" s="17" t="s">
        <v>37</v>
      </c>
    </row>
    <row r="29" spans="2:5" x14ac:dyDescent="0.25">
      <c r="B29" s="15"/>
      <c r="E29" s="17"/>
    </row>
    <row r="30" spans="2:5" x14ac:dyDescent="0.25">
      <c r="B30" s="13" t="s">
        <v>38</v>
      </c>
      <c r="E30" s="17"/>
    </row>
    <row r="31" spans="2:5" x14ac:dyDescent="0.25">
      <c r="B31" s="15" t="s">
        <v>39</v>
      </c>
      <c r="C31" s="8">
        <v>5</v>
      </c>
      <c r="D31" t="s">
        <v>10</v>
      </c>
      <c r="E31" s="17" t="s">
        <v>40</v>
      </c>
    </row>
    <row r="32" spans="2:5" x14ac:dyDescent="0.25">
      <c r="B32" s="15" t="s">
        <v>41</v>
      </c>
      <c r="C32" s="10">
        <f>TRUNC($C$31*C18)</f>
        <v>4110</v>
      </c>
      <c r="D32" t="s">
        <v>13</v>
      </c>
      <c r="E32" s="17" t="s">
        <v>42</v>
      </c>
    </row>
    <row r="33" spans="2:5" x14ac:dyDescent="0.25">
      <c r="B33" s="15" t="s">
        <v>43</v>
      </c>
      <c r="C33" s="10">
        <f t="shared" ref="C33:C35" si="1">TRUNC($C$31*C19)</f>
        <v>29127</v>
      </c>
      <c r="D33" t="s">
        <v>13</v>
      </c>
      <c r="E33" s="16" t="s">
        <v>44</v>
      </c>
    </row>
    <row r="34" spans="2:5" x14ac:dyDescent="0.25">
      <c r="B34" s="15" t="s">
        <v>45</v>
      </c>
      <c r="C34" s="10">
        <f t="shared" si="1"/>
        <v>29127</v>
      </c>
      <c r="D34" t="s">
        <v>13</v>
      </c>
      <c r="E34" s="17" t="s">
        <v>46</v>
      </c>
    </row>
    <row r="35" spans="2:5" x14ac:dyDescent="0.25">
      <c r="B35" s="19" t="s">
        <v>47</v>
      </c>
      <c r="C35" s="10">
        <f t="shared" si="1"/>
        <v>29127</v>
      </c>
      <c r="D35" s="20" t="s">
        <v>13</v>
      </c>
      <c r="E35" s="21" t="s">
        <v>48</v>
      </c>
    </row>
    <row r="38" spans="2:5" ht="15.75" x14ac:dyDescent="0.25">
      <c r="B38" s="43" t="s">
        <v>49</v>
      </c>
      <c r="C38" s="61"/>
      <c r="D38" s="61"/>
      <c r="E38" s="22"/>
    </row>
    <row r="39" spans="2:5" x14ac:dyDescent="0.25">
      <c r="B39" s="41" t="s">
        <v>2</v>
      </c>
      <c r="C39" s="42" t="s">
        <v>3</v>
      </c>
      <c r="D39" s="42" t="s">
        <v>4</v>
      </c>
      <c r="E39" s="29" t="s">
        <v>5</v>
      </c>
    </row>
    <row r="40" spans="2:5" x14ac:dyDescent="0.25">
      <c r="B40" s="15"/>
      <c r="E40" s="17"/>
    </row>
    <row r="41" spans="2:5" x14ac:dyDescent="0.25">
      <c r="B41" s="13" t="s">
        <v>27</v>
      </c>
      <c r="E41" s="37" t="s">
        <v>50</v>
      </c>
    </row>
    <row r="42" spans="2:5" x14ac:dyDescent="0.25">
      <c r="B42" s="15" t="s">
        <v>28</v>
      </c>
      <c r="C42" s="7">
        <v>17878</v>
      </c>
      <c r="D42" t="s">
        <v>13</v>
      </c>
      <c r="E42" s="17" t="s">
        <v>51</v>
      </c>
    </row>
    <row r="43" spans="2:5" x14ac:dyDescent="0.25">
      <c r="B43" s="15" t="s">
        <v>52</v>
      </c>
      <c r="C43" s="18">
        <f>(C42 * $C$9/POWER(2,($C$8-1)) - 0.622) * 1250/3</f>
        <v>24.996490478515625</v>
      </c>
      <c r="D43" t="s">
        <v>53</v>
      </c>
      <c r="E43" s="17" t="s">
        <v>54</v>
      </c>
    </row>
    <row r="44" spans="2:5" x14ac:dyDescent="0.25">
      <c r="B44" s="15"/>
      <c r="E44" s="17"/>
    </row>
    <row r="45" spans="2:5" x14ac:dyDescent="0.25">
      <c r="B45" s="13" t="s">
        <v>38</v>
      </c>
      <c r="E45" s="37" t="s">
        <v>55</v>
      </c>
    </row>
    <row r="46" spans="2:5" x14ac:dyDescent="0.25">
      <c r="B46" s="15" t="s">
        <v>52</v>
      </c>
      <c r="C46" s="8">
        <v>25</v>
      </c>
      <c r="D46" t="s">
        <v>53</v>
      </c>
      <c r="E46" s="17" t="s">
        <v>54</v>
      </c>
    </row>
    <row r="47" spans="2:5" x14ac:dyDescent="0.25">
      <c r="B47" s="19" t="s">
        <v>28</v>
      </c>
      <c r="C47" s="10">
        <f>TRUNC((C46 * 3/1250 + 0.622) * POWER(2,($C$8-1))/$C$9, 0)</f>
        <v>17878</v>
      </c>
      <c r="D47" s="20" t="s">
        <v>13</v>
      </c>
      <c r="E47" s="21" t="s">
        <v>51</v>
      </c>
    </row>
    <row r="50" spans="2:2" x14ac:dyDescent="0.25">
      <c r="B50" s="1" t="s">
        <v>56</v>
      </c>
    </row>
    <row r="51" spans="2:2" x14ac:dyDescent="0.25">
      <c r="B51" s="7" t="s">
        <v>249</v>
      </c>
    </row>
    <row r="52" spans="2:2" x14ac:dyDescent="0.25">
      <c r="B52" s="8" t="s">
        <v>250</v>
      </c>
    </row>
    <row r="53" spans="2:2" x14ac:dyDescent="0.25">
      <c r="B53" s="9" t="s">
        <v>57</v>
      </c>
    </row>
    <row r="54" spans="2:2" x14ac:dyDescent="0.25">
      <c r="B54" s="10" t="s">
        <v>58</v>
      </c>
    </row>
    <row r="55" spans="2:2" x14ac:dyDescent="0.25">
      <c r="B55" s="4" t="s">
        <v>59</v>
      </c>
    </row>
    <row r="56" spans="2:2" x14ac:dyDescent="0.25">
      <c r="B56" s="54" t="s">
        <v>60</v>
      </c>
    </row>
  </sheetData>
  <sheetProtection algorithmName="SHA-512" hashValue="sNB9QvNOnOZqqFp1rxMZEIeMo17Nd+/ua83FhHkULMlg20wN63gySoXAa+QiAhM9TQRvl2coacaab02sqXHs2g==" saltValue="YiF6xssd4UlX/Hh1QlTNjw==" spinCount="100000" sheet="1" objects="1" scenarios="1"/>
  <protectedRanges>
    <protectedRange sqref="C10:C11 C24 C31 C42 C46" name="Range1"/>
  </protectedRanges>
  <mergeCells count="1">
    <mergeCell ref="B3:E3"/>
  </mergeCells>
  <conditionalFormatting sqref="C32:C35">
    <cfRule type="cellIs" dxfId="1" priority="1" operator="greaterThan">
      <formula>32767</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FC8EF-AD2B-4E95-BC96-5C0DCEDB1490}">
  <dimension ref="B2:E40"/>
  <sheetViews>
    <sheetView workbookViewId="0"/>
  </sheetViews>
  <sheetFormatPr defaultColWidth="23.5703125" defaultRowHeight="15" x14ac:dyDescent="0.25"/>
  <cols>
    <col min="1" max="1" width="2.85546875" customWidth="1"/>
    <col min="2" max="2" width="29.140625" customWidth="1"/>
    <col min="3" max="3" width="9.7109375" customWidth="1"/>
    <col min="4" max="4" width="9.85546875" customWidth="1"/>
    <col min="5" max="5" width="96.5703125" bestFit="1" customWidth="1"/>
    <col min="6" max="6" width="74.28515625" customWidth="1"/>
  </cols>
  <sheetData>
    <row r="2" spans="2:5" ht="15.75" x14ac:dyDescent="0.25">
      <c r="B2" s="43" t="s">
        <v>0</v>
      </c>
      <c r="C2" s="51"/>
      <c r="D2" s="51"/>
      <c r="E2" s="22"/>
    </row>
    <row r="3" spans="2:5" ht="77.25" customHeight="1" x14ac:dyDescent="0.25">
      <c r="B3" s="67" t="s">
        <v>61</v>
      </c>
      <c r="C3" s="68"/>
      <c r="D3" s="68"/>
      <c r="E3" s="69"/>
    </row>
    <row r="6" spans="2:5" ht="15.75" x14ac:dyDescent="0.25">
      <c r="B6" s="43" t="s">
        <v>1</v>
      </c>
      <c r="C6" s="61"/>
      <c r="D6" s="61"/>
      <c r="E6" s="28"/>
    </row>
    <row r="7" spans="2:5" x14ac:dyDescent="0.25">
      <c r="B7" s="32" t="s">
        <v>2</v>
      </c>
      <c r="C7" s="33" t="s">
        <v>3</v>
      </c>
      <c r="D7" s="33" t="s">
        <v>4</v>
      </c>
      <c r="E7" s="36" t="s">
        <v>5</v>
      </c>
    </row>
    <row r="8" spans="2:5" x14ac:dyDescent="0.25">
      <c r="B8" s="34" t="s">
        <v>6</v>
      </c>
      <c r="C8" s="55">
        <v>16</v>
      </c>
      <c r="D8" s="31" t="s">
        <v>7</v>
      </c>
      <c r="E8" s="30" t="s">
        <v>8</v>
      </c>
    </row>
    <row r="9" spans="2:5" x14ac:dyDescent="0.25">
      <c r="B9" s="15" t="s">
        <v>9</v>
      </c>
      <c r="C9" s="56">
        <v>1.25</v>
      </c>
      <c r="D9" t="s">
        <v>10</v>
      </c>
      <c r="E9" s="17" t="s">
        <v>11</v>
      </c>
    </row>
    <row r="10" spans="2:5" x14ac:dyDescent="0.25">
      <c r="B10" s="15" t="s">
        <v>65</v>
      </c>
      <c r="C10" s="7">
        <v>0</v>
      </c>
      <c r="D10" t="s">
        <v>13</v>
      </c>
      <c r="E10" s="17" t="s">
        <v>66</v>
      </c>
    </row>
    <row r="11" spans="2:5" x14ac:dyDescent="0.25">
      <c r="B11" s="15" t="s">
        <v>63</v>
      </c>
      <c r="C11" s="7">
        <v>3</v>
      </c>
      <c r="D11" t="s">
        <v>13</v>
      </c>
      <c r="E11" s="17" t="s">
        <v>64</v>
      </c>
    </row>
    <row r="12" spans="2:5" ht="14.45" customHeight="1" x14ac:dyDescent="0.25">
      <c r="B12" s="15" t="s">
        <v>70</v>
      </c>
      <c r="C12" s="52" cm="1">
        <f t="array" ref="C12">_xlfn.SWITCH(C10, 0,1, 1,2, 2,3, 3,4)</f>
        <v>1</v>
      </c>
      <c r="D12" t="s">
        <v>62</v>
      </c>
      <c r="E12" s="17" t="s">
        <v>241</v>
      </c>
    </row>
    <row r="13" spans="2:5" ht="14.45" customHeight="1" x14ac:dyDescent="0.25">
      <c r="B13" s="19" t="s">
        <v>68</v>
      </c>
      <c r="C13" s="52" cm="1">
        <f t="array" ref="C13">_xlfn.SWITCH(C11, 0,200, 1,112, 2,78, 3,55)</f>
        <v>55</v>
      </c>
      <c r="D13" s="20" t="s">
        <v>69</v>
      </c>
      <c r="E13" s="21" t="s">
        <v>240</v>
      </c>
    </row>
    <row r="16" spans="2:5" ht="15.75" x14ac:dyDescent="0.25">
      <c r="B16" s="48" t="s">
        <v>67</v>
      </c>
      <c r="C16" s="62"/>
      <c r="D16" s="62"/>
      <c r="E16" s="30"/>
    </row>
    <row r="17" spans="2:5" x14ac:dyDescent="0.25">
      <c r="B17" s="41" t="s">
        <v>2</v>
      </c>
      <c r="C17" s="42" t="s">
        <v>3</v>
      </c>
      <c r="D17" s="42" t="s">
        <v>4</v>
      </c>
      <c r="E17" s="29" t="s">
        <v>5</v>
      </c>
    </row>
    <row r="18" spans="2:5" ht="14.45" customHeight="1" x14ac:dyDescent="0.25">
      <c r="B18" s="13"/>
      <c r="E18" s="17"/>
    </row>
    <row r="19" spans="2:5" x14ac:dyDescent="0.25">
      <c r="B19" s="13" t="s">
        <v>71</v>
      </c>
      <c r="E19" s="17"/>
    </row>
    <row r="20" spans="2:5" x14ac:dyDescent="0.25">
      <c r="B20" s="15" t="s">
        <v>72</v>
      </c>
      <c r="C20" s="10">
        <f>TRUNC(POWER(2,(C8-1)) / C12, 0)</f>
        <v>32768</v>
      </c>
      <c r="D20" t="s">
        <v>13</v>
      </c>
      <c r="E20" s="17" t="s">
        <v>73</v>
      </c>
    </row>
    <row r="21" spans="2:5" x14ac:dyDescent="0.25">
      <c r="B21" s="15" t="s">
        <v>74</v>
      </c>
      <c r="C21" s="18" cm="1">
        <f t="array" ref="C21">C20 * 1.64/8 * (C11+1)/4 * _xlfn.SWITCH(C11, 0,1, 1,0.992, 2,0.988, 3,0.982)</f>
        <v>6596.5260799999996</v>
      </c>
      <c r="D21" t="s">
        <v>75</v>
      </c>
      <c r="E21" s="17" t="s">
        <v>76</v>
      </c>
    </row>
    <row r="22" spans="2:5" x14ac:dyDescent="0.25">
      <c r="B22" s="15" t="s">
        <v>77</v>
      </c>
      <c r="C22" s="18">
        <f>C21/SQRT(2)</f>
        <v>4664.4483234419131</v>
      </c>
      <c r="D22" t="s">
        <v>78</v>
      </c>
      <c r="E22" s="17" t="s">
        <v>79</v>
      </c>
    </row>
    <row r="23" spans="2:5" x14ac:dyDescent="0.25">
      <c r="B23" s="15"/>
      <c r="E23" s="17"/>
    </row>
    <row r="24" spans="2:5" x14ac:dyDescent="0.25">
      <c r="B24" s="13" t="s">
        <v>27</v>
      </c>
      <c r="E24" s="17"/>
    </row>
    <row r="25" spans="2:5" x14ac:dyDescent="0.25">
      <c r="B25" s="15" t="s">
        <v>72</v>
      </c>
      <c r="C25" s="7">
        <v>8000</v>
      </c>
      <c r="D25" t="s">
        <v>13</v>
      </c>
      <c r="E25" s="16" t="s">
        <v>80</v>
      </c>
    </row>
    <row r="26" spans="2:5" x14ac:dyDescent="0.25">
      <c r="B26" s="15" t="s">
        <v>74</v>
      </c>
      <c r="C26" s="18" cm="1">
        <f t="array" ref="C26">C25 * 1.64/8 * (C11+1)/4 * _xlfn.SWITCH(C11, 0,1, 1,0.992, 2,0.988, 3,0.982)</f>
        <v>1610.48</v>
      </c>
      <c r="D26" t="s">
        <v>75</v>
      </c>
      <c r="E26" s="17" t="s">
        <v>81</v>
      </c>
    </row>
    <row r="27" spans="2:5" x14ac:dyDescent="0.25">
      <c r="B27" s="15" t="s">
        <v>77</v>
      </c>
      <c r="C27" s="18">
        <f>C26/SQRT(2)</f>
        <v>1138.7813289653111</v>
      </c>
      <c r="D27" t="s">
        <v>78</v>
      </c>
      <c r="E27" s="17" t="s">
        <v>82</v>
      </c>
    </row>
    <row r="28" spans="2:5" x14ac:dyDescent="0.25">
      <c r="B28" s="15"/>
      <c r="E28" s="17"/>
    </row>
    <row r="29" spans="2:5" x14ac:dyDescent="0.25">
      <c r="B29" s="13" t="s">
        <v>38</v>
      </c>
      <c r="E29" s="17"/>
    </row>
    <row r="30" spans="2:5" x14ac:dyDescent="0.25">
      <c r="B30" s="15" t="s">
        <v>74</v>
      </c>
      <c r="C30" s="8">
        <v>1600</v>
      </c>
      <c r="D30" t="s">
        <v>75</v>
      </c>
      <c r="E30" s="17" t="s">
        <v>81</v>
      </c>
    </row>
    <row r="31" spans="2:5" x14ac:dyDescent="0.25">
      <c r="B31" s="19" t="s">
        <v>72</v>
      </c>
      <c r="C31" s="10" cm="1">
        <f t="array" ref="C31">TRUNC( C30 / 1.64*8 / (C11+1)*4 / _xlfn.SWITCH(C11, 0,1, 1,0.992, 2,0.988, 3,0.982), 0)</f>
        <v>7947</v>
      </c>
      <c r="D31" s="20" t="s">
        <v>13</v>
      </c>
      <c r="E31" s="21" t="s">
        <v>80</v>
      </c>
    </row>
    <row r="34" spans="2:2" x14ac:dyDescent="0.25">
      <c r="B34" s="1" t="s">
        <v>56</v>
      </c>
    </row>
    <row r="35" spans="2:2" x14ac:dyDescent="0.25">
      <c r="B35" s="7" t="s">
        <v>249</v>
      </c>
    </row>
    <row r="36" spans="2:2" x14ac:dyDescent="0.25">
      <c r="B36" s="8" t="s">
        <v>250</v>
      </c>
    </row>
    <row r="37" spans="2:2" x14ac:dyDescent="0.25">
      <c r="B37" s="9" t="s">
        <v>57</v>
      </c>
    </row>
    <row r="38" spans="2:2" x14ac:dyDescent="0.25">
      <c r="B38" s="10" t="s">
        <v>58</v>
      </c>
    </row>
    <row r="39" spans="2:2" x14ac:dyDescent="0.25">
      <c r="B39" s="4" t="s">
        <v>59</v>
      </c>
    </row>
    <row r="40" spans="2:2" x14ac:dyDescent="0.25">
      <c r="B40" s="54" t="s">
        <v>60</v>
      </c>
    </row>
  </sheetData>
  <sheetProtection algorithmName="SHA-512" hashValue="ZLaWp7yLXWI/4sW+pzniEGWaZtBXfEvdyHDjlg23BoqmVGhC/QGlykzGWZ9Cn1nL5Mg3MBNxxWdWYUvku/aH3w==" saltValue="sIoc/abQvGXy3n0LPhZjpA==" spinCount="100000" sheet="1" objects="1" scenarios="1"/>
  <protectedRanges>
    <protectedRange sqref="C10:C11 C25 C30" name="Range1"/>
  </protectedRanges>
  <mergeCells count="1">
    <mergeCell ref="B3:E3"/>
  </mergeCells>
  <conditionalFormatting sqref="C25">
    <cfRule type="cellIs" dxfId="0" priority="2" operator="greaterThan">
      <formula>$C$20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4FCC3-EABC-486B-BBE7-0A7117C9F05F}">
  <dimension ref="B2:E68"/>
  <sheetViews>
    <sheetView zoomScaleNormal="100" workbookViewId="0"/>
  </sheetViews>
  <sheetFormatPr defaultColWidth="9.140625" defaultRowHeight="15" x14ac:dyDescent="0.25"/>
  <cols>
    <col min="1" max="1" width="2.85546875" customWidth="1"/>
    <col min="2" max="2" width="27.5703125" customWidth="1"/>
    <col min="3" max="3" width="10.42578125" customWidth="1"/>
    <col min="4" max="4" width="10.85546875" bestFit="1" customWidth="1"/>
    <col min="5" max="5" width="92.7109375" customWidth="1"/>
  </cols>
  <sheetData>
    <row r="2" spans="2:5" ht="15.75" x14ac:dyDescent="0.25">
      <c r="B2" s="43" t="s">
        <v>0</v>
      </c>
      <c r="C2" s="51"/>
      <c r="D2" s="51"/>
      <c r="E2" s="22"/>
    </row>
    <row r="3" spans="2:5" ht="120" customHeight="1" x14ac:dyDescent="0.25">
      <c r="B3" s="67" t="s">
        <v>246</v>
      </c>
      <c r="C3" s="68"/>
      <c r="D3" s="68"/>
      <c r="E3" s="69"/>
    </row>
    <row r="6" spans="2:5" ht="15.75" x14ac:dyDescent="0.25">
      <c r="B6" s="43" t="s">
        <v>84</v>
      </c>
      <c r="C6" s="61"/>
      <c r="D6" s="61"/>
      <c r="E6" s="22"/>
    </row>
    <row r="7" spans="2:5" x14ac:dyDescent="0.25">
      <c r="B7" s="32" t="s">
        <v>2</v>
      </c>
      <c r="C7" s="33" t="s">
        <v>3</v>
      </c>
      <c r="D7" s="33" t="s">
        <v>4</v>
      </c>
      <c r="E7" s="36" t="s">
        <v>5</v>
      </c>
    </row>
    <row r="8" spans="2:5" x14ac:dyDescent="0.25">
      <c r="B8" s="15" t="s">
        <v>85</v>
      </c>
      <c r="C8" s="54">
        <v>60000000</v>
      </c>
      <c r="D8" t="s">
        <v>86</v>
      </c>
      <c r="E8" s="17" t="s">
        <v>87</v>
      </c>
    </row>
    <row r="9" spans="2:5" x14ac:dyDescent="0.25">
      <c r="B9" s="19" t="s">
        <v>88</v>
      </c>
      <c r="C9" s="27">
        <v>4</v>
      </c>
      <c r="D9" s="20" t="s">
        <v>62</v>
      </c>
      <c r="E9" s="21" t="s">
        <v>89</v>
      </c>
    </row>
    <row r="12" spans="2:5" ht="15.75" x14ac:dyDescent="0.25">
      <c r="B12" s="43" t="s">
        <v>90</v>
      </c>
      <c r="C12" s="61"/>
      <c r="D12" s="61"/>
      <c r="E12" s="22"/>
    </row>
    <row r="13" spans="2:5" x14ac:dyDescent="0.25">
      <c r="B13" s="41" t="s">
        <v>2</v>
      </c>
      <c r="C13" s="42" t="s">
        <v>3</v>
      </c>
      <c r="D13" s="42" t="s">
        <v>4</v>
      </c>
      <c r="E13" s="29" t="s">
        <v>5</v>
      </c>
    </row>
    <row r="14" spans="2:5" x14ac:dyDescent="0.25">
      <c r="B14" s="15"/>
      <c r="E14" s="17"/>
    </row>
    <row r="15" spans="2:5" x14ac:dyDescent="0.25">
      <c r="B15" s="13" t="s">
        <v>91</v>
      </c>
      <c r="E15" s="17"/>
    </row>
    <row r="16" spans="2:5" x14ac:dyDescent="0.25">
      <c r="B16" s="15" t="s">
        <v>92</v>
      </c>
      <c r="C16" s="7">
        <v>65536</v>
      </c>
      <c r="D16" t="s">
        <v>13</v>
      </c>
      <c r="E16" s="17" t="s">
        <v>93</v>
      </c>
    </row>
    <row r="17" spans="2:5" x14ac:dyDescent="0.25">
      <c r="B17" s="15" t="s">
        <v>94</v>
      </c>
      <c r="C17" s="38">
        <f>C16/POWER(2,16)</f>
        <v>1</v>
      </c>
      <c r="D17" t="s">
        <v>95</v>
      </c>
      <c r="E17" s="17" t="s">
        <v>96</v>
      </c>
    </row>
    <row r="18" spans="2:5" x14ac:dyDescent="0.25">
      <c r="B18" s="15" t="s">
        <v>97</v>
      </c>
      <c r="C18" s="38">
        <f>C17/$C$9</f>
        <v>0.25</v>
      </c>
      <c r="D18" t="s">
        <v>98</v>
      </c>
      <c r="E18" s="17" t="s">
        <v>99</v>
      </c>
    </row>
    <row r="19" spans="2:5" x14ac:dyDescent="0.25">
      <c r="B19" s="15"/>
      <c r="E19" s="17"/>
    </row>
    <row r="20" spans="2:5" x14ac:dyDescent="0.25">
      <c r="B20" s="13" t="s">
        <v>100</v>
      </c>
      <c r="E20" s="17"/>
    </row>
    <row r="21" spans="2:5" x14ac:dyDescent="0.25">
      <c r="B21" s="15" t="s">
        <v>97</v>
      </c>
      <c r="C21" s="60">
        <v>1</v>
      </c>
      <c r="D21" t="s">
        <v>98</v>
      </c>
      <c r="E21" s="17" t="s">
        <v>99</v>
      </c>
    </row>
    <row r="22" spans="2:5" x14ac:dyDescent="0.25">
      <c r="B22" s="15" t="s">
        <v>94</v>
      </c>
      <c r="C22" s="59">
        <f>C21*$C$9</f>
        <v>4</v>
      </c>
      <c r="D22" t="s">
        <v>95</v>
      </c>
      <c r="E22" s="17" t="s">
        <v>96</v>
      </c>
    </row>
    <row r="23" spans="2:5" x14ac:dyDescent="0.25">
      <c r="B23" s="19" t="s">
        <v>92</v>
      </c>
      <c r="C23" s="12">
        <f>TRUNC(C22*POWER(2,16), 0)</f>
        <v>262144</v>
      </c>
      <c r="D23" s="20" t="s">
        <v>13</v>
      </c>
      <c r="E23" s="21" t="s">
        <v>93</v>
      </c>
    </row>
    <row r="26" spans="2:5" ht="15.75" x14ac:dyDescent="0.25">
      <c r="B26" s="43" t="s">
        <v>101</v>
      </c>
      <c r="C26" s="61"/>
      <c r="D26" s="61"/>
      <c r="E26" s="22"/>
    </row>
    <row r="27" spans="2:5" x14ac:dyDescent="0.25">
      <c r="B27" s="41" t="s">
        <v>2</v>
      </c>
      <c r="C27" s="42" t="s">
        <v>3</v>
      </c>
      <c r="D27" s="42" t="s">
        <v>4</v>
      </c>
      <c r="E27" s="29" t="s">
        <v>5</v>
      </c>
    </row>
    <row r="28" spans="2:5" x14ac:dyDescent="0.25">
      <c r="B28" s="34"/>
      <c r="C28" s="31"/>
      <c r="D28" s="31"/>
      <c r="E28" s="30"/>
    </row>
    <row r="29" spans="2:5" x14ac:dyDescent="0.25">
      <c r="B29" s="13" t="s">
        <v>102</v>
      </c>
      <c r="E29" s="17"/>
    </row>
    <row r="30" spans="2:5" x14ac:dyDescent="0.25">
      <c r="B30" s="15" t="s">
        <v>103</v>
      </c>
      <c r="C30" s="35">
        <f>2^16 * 2^24 / $C$8 / 60</f>
        <v>305.41989660444443</v>
      </c>
      <c r="D30" t="s">
        <v>104</v>
      </c>
      <c r="E30" s="37" t="s">
        <v>105</v>
      </c>
    </row>
    <row r="31" spans="2:5" x14ac:dyDescent="0.25">
      <c r="B31" s="15" t="s">
        <v>106</v>
      </c>
      <c r="C31" s="35">
        <f>2^16 * 2^24 / $C$8 / 60 / C9</f>
        <v>76.354974151111108</v>
      </c>
      <c r="D31" t="s">
        <v>107</v>
      </c>
      <c r="E31" s="37" t="s">
        <v>228</v>
      </c>
    </row>
    <row r="32" spans="2:5" x14ac:dyDescent="0.25">
      <c r="B32" s="15"/>
      <c r="E32" s="17"/>
    </row>
    <row r="33" spans="2:5" x14ac:dyDescent="0.25">
      <c r="B33" s="13" t="s">
        <v>91</v>
      </c>
      <c r="E33" s="17"/>
    </row>
    <row r="34" spans="2:5" x14ac:dyDescent="0.25">
      <c r="B34" s="15" t="s">
        <v>108</v>
      </c>
      <c r="C34" s="7">
        <v>1527</v>
      </c>
      <c r="D34" t="s">
        <v>13</v>
      </c>
      <c r="E34" s="17" t="s">
        <v>109</v>
      </c>
    </row>
    <row r="35" spans="2:5" x14ac:dyDescent="0.25">
      <c r="B35" s="15" t="s">
        <v>110</v>
      </c>
      <c r="C35" s="38">
        <f>$C$34/C30</f>
        <v>4.9996742745861411</v>
      </c>
      <c r="D35" t="s">
        <v>111</v>
      </c>
      <c r="E35" s="17" t="s">
        <v>112</v>
      </c>
    </row>
    <row r="36" spans="2:5" x14ac:dyDescent="0.25">
      <c r="B36" s="15" t="s">
        <v>113</v>
      </c>
      <c r="C36" s="38">
        <f>$C$34/C31</f>
        <v>19.998697098344564</v>
      </c>
      <c r="D36" t="s">
        <v>114</v>
      </c>
      <c r="E36" s="17" t="s">
        <v>115</v>
      </c>
    </row>
    <row r="37" spans="2:5" x14ac:dyDescent="0.25">
      <c r="B37" s="15"/>
      <c r="E37" s="17"/>
    </row>
    <row r="38" spans="2:5" x14ac:dyDescent="0.25">
      <c r="B38" s="13" t="s">
        <v>100</v>
      </c>
      <c r="E38" s="17"/>
    </row>
    <row r="39" spans="2:5" x14ac:dyDescent="0.25">
      <c r="B39" s="15" t="s">
        <v>110</v>
      </c>
      <c r="C39" s="27">
        <v>10</v>
      </c>
      <c r="D39" t="s">
        <v>111</v>
      </c>
      <c r="E39" s="17" t="s">
        <v>112</v>
      </c>
    </row>
    <row r="40" spans="2:5" x14ac:dyDescent="0.25">
      <c r="B40" s="15" t="s">
        <v>113</v>
      </c>
      <c r="C40" s="63">
        <f>C39*$C$9</f>
        <v>40</v>
      </c>
      <c r="D40" t="s">
        <v>114</v>
      </c>
      <c r="E40" s="17" t="s">
        <v>115</v>
      </c>
    </row>
    <row r="41" spans="2:5" x14ac:dyDescent="0.25">
      <c r="B41" s="19" t="s">
        <v>108</v>
      </c>
      <c r="C41" s="12">
        <f>TRUNC(C39*C30)</f>
        <v>3054</v>
      </c>
      <c r="D41" s="20" t="s">
        <v>13</v>
      </c>
      <c r="E41" s="21"/>
    </row>
    <row r="44" spans="2:5" ht="15.75" x14ac:dyDescent="0.25">
      <c r="B44" s="43" t="s">
        <v>116</v>
      </c>
      <c r="C44" s="61"/>
      <c r="D44" s="61"/>
      <c r="E44" s="22"/>
    </row>
    <row r="45" spans="2:5" x14ac:dyDescent="0.25">
      <c r="B45" s="41" t="s">
        <v>2</v>
      </c>
      <c r="C45" s="42" t="s">
        <v>3</v>
      </c>
      <c r="D45" s="42" t="s">
        <v>4</v>
      </c>
      <c r="E45" s="29" t="s">
        <v>5</v>
      </c>
    </row>
    <row r="46" spans="2:5" x14ac:dyDescent="0.25">
      <c r="B46" s="34"/>
      <c r="C46" s="31"/>
      <c r="D46" s="31"/>
      <c r="E46" s="30"/>
    </row>
    <row r="47" spans="2:5" x14ac:dyDescent="0.25">
      <c r="B47" s="13" t="s">
        <v>102</v>
      </c>
      <c r="E47" s="17"/>
    </row>
    <row r="48" spans="2:5" x14ac:dyDescent="0.25">
      <c r="B48" s="15" t="s">
        <v>103</v>
      </c>
      <c r="C48" s="35">
        <f>C30</f>
        <v>305.41989660444443</v>
      </c>
      <c r="E48" s="26" t="s">
        <v>117</v>
      </c>
    </row>
    <row r="49" spans="2:5" x14ac:dyDescent="0.25">
      <c r="B49" s="15"/>
      <c r="E49" s="17"/>
    </row>
    <row r="50" spans="2:5" x14ac:dyDescent="0.25">
      <c r="B50" s="13" t="s">
        <v>91</v>
      </c>
      <c r="E50" s="58"/>
    </row>
    <row r="51" spans="2:5" x14ac:dyDescent="0.25">
      <c r="B51" s="15" t="s">
        <v>118</v>
      </c>
      <c r="C51" s="7">
        <v>1527</v>
      </c>
      <c r="D51" t="s">
        <v>13</v>
      </c>
      <c r="E51" s="17" t="s">
        <v>119</v>
      </c>
    </row>
    <row r="52" spans="2:5" x14ac:dyDescent="0.25">
      <c r="B52" s="15" t="s">
        <v>120</v>
      </c>
      <c r="C52" s="38">
        <f>$C$51 / C48 / 60 / 2^17 * $C$8</f>
        <v>38.144487568558816</v>
      </c>
      <c r="D52" t="s">
        <v>121</v>
      </c>
      <c r="E52" s="17" t="s">
        <v>122</v>
      </c>
    </row>
    <row r="53" spans="2:5" x14ac:dyDescent="0.25">
      <c r="B53" s="15"/>
      <c r="E53" s="17"/>
    </row>
    <row r="54" spans="2:5" x14ac:dyDescent="0.25">
      <c r="B54" s="13" t="s">
        <v>100</v>
      </c>
      <c r="E54" s="17"/>
    </row>
    <row r="55" spans="2:5" x14ac:dyDescent="0.25">
      <c r="B55" s="15" t="s">
        <v>123</v>
      </c>
      <c r="C55" s="8">
        <v>0</v>
      </c>
      <c r="D55" t="s">
        <v>111</v>
      </c>
      <c r="E55" s="17" t="s">
        <v>124</v>
      </c>
    </row>
    <row r="56" spans="2:5" x14ac:dyDescent="0.25">
      <c r="B56" s="15" t="s">
        <v>125</v>
      </c>
      <c r="C56" s="8">
        <v>50</v>
      </c>
      <c r="D56" t="s">
        <v>111</v>
      </c>
      <c r="E56" s="17" t="s">
        <v>126</v>
      </c>
    </row>
    <row r="57" spans="2:5" x14ac:dyDescent="0.25">
      <c r="B57" s="15" t="s">
        <v>127</v>
      </c>
      <c r="C57" s="8">
        <v>2</v>
      </c>
      <c r="D57" t="s">
        <v>128</v>
      </c>
      <c r="E57" s="17" t="s">
        <v>129</v>
      </c>
    </row>
    <row r="58" spans="2:5" x14ac:dyDescent="0.25">
      <c r="B58" s="15" t="s">
        <v>130</v>
      </c>
      <c r="C58" s="52">
        <f>ABS((C56-C55) / C57)</f>
        <v>25</v>
      </c>
      <c r="D58" t="s">
        <v>121</v>
      </c>
      <c r="E58" s="17" t="s">
        <v>131</v>
      </c>
    </row>
    <row r="59" spans="2:5" x14ac:dyDescent="0.25">
      <c r="B59" s="19" t="s">
        <v>118</v>
      </c>
      <c r="C59" s="12">
        <f>TRUNC($C$58 * C48 * 2^17 / $C$8)</f>
        <v>16</v>
      </c>
      <c r="D59" s="20" t="s">
        <v>13</v>
      </c>
      <c r="E59" s="21" t="s">
        <v>119</v>
      </c>
    </row>
    <row r="62" spans="2:5" x14ac:dyDescent="0.25">
      <c r="B62" s="1" t="s">
        <v>56</v>
      </c>
    </row>
    <row r="63" spans="2:5" x14ac:dyDescent="0.25">
      <c r="B63" s="7" t="s">
        <v>249</v>
      </c>
    </row>
    <row r="64" spans="2:5" x14ac:dyDescent="0.25">
      <c r="B64" s="8" t="s">
        <v>250</v>
      </c>
    </row>
    <row r="65" spans="2:2" x14ac:dyDescent="0.25">
      <c r="B65" s="9" t="s">
        <v>57</v>
      </c>
    </row>
    <row r="66" spans="2:2" x14ac:dyDescent="0.25">
      <c r="B66" s="10" t="s">
        <v>58</v>
      </c>
    </row>
    <row r="67" spans="2:2" x14ac:dyDescent="0.25">
      <c r="B67" s="4" t="s">
        <v>59</v>
      </c>
    </row>
    <row r="68" spans="2:2" x14ac:dyDescent="0.25">
      <c r="B68" s="54" t="s">
        <v>60</v>
      </c>
    </row>
  </sheetData>
  <sheetProtection algorithmName="SHA-512" hashValue="kSGf4uvAOKJoruDR0nLt64zIC0ReGFfiNDBP8jzfqgv7EoDZ38FKjScVDNmdd/y02zh7/wMH/Blu+pfoL7NJmA==" saltValue="uZZVYfB1QccyJXgrKB088w==" spinCount="100000" sheet="1" objects="1" scenarios="1"/>
  <protectedRanges>
    <protectedRange sqref="C9 C16 C21 C34 C39 C51 C55:C57" name="Range1"/>
  </protectedRanges>
  <mergeCells count="1">
    <mergeCell ref="B3:E3"/>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F4FF3-0D8F-4E87-A1A0-00D3A2FABE07}">
  <dimension ref="B2:E42"/>
  <sheetViews>
    <sheetView zoomScaleNormal="100" workbookViewId="0"/>
  </sheetViews>
  <sheetFormatPr defaultRowHeight="15" x14ac:dyDescent="0.25"/>
  <cols>
    <col min="1" max="1" width="2.5703125" customWidth="1"/>
    <col min="2" max="2" width="29.85546875" customWidth="1"/>
    <col min="3" max="3" width="11.5703125" customWidth="1"/>
    <col min="4" max="4" width="9.28515625" customWidth="1"/>
    <col min="5" max="5" width="82.28515625" bestFit="1" customWidth="1"/>
  </cols>
  <sheetData>
    <row r="2" spans="2:5" ht="15.75" x14ac:dyDescent="0.25">
      <c r="B2" s="43" t="s">
        <v>0</v>
      </c>
      <c r="C2" s="51"/>
      <c r="D2" s="51"/>
      <c r="E2" s="22"/>
    </row>
    <row r="3" spans="2:5" ht="105" customHeight="1" x14ac:dyDescent="0.25">
      <c r="B3" s="67" t="s">
        <v>132</v>
      </c>
      <c r="C3" s="68"/>
      <c r="D3" s="68"/>
      <c r="E3" s="69"/>
    </row>
    <row r="4" spans="2:5" ht="15.75" x14ac:dyDescent="0.25">
      <c r="B4" s="46"/>
      <c r="C4" s="57"/>
      <c r="D4" s="57"/>
    </row>
    <row r="6" spans="2:5" ht="15.75" x14ac:dyDescent="0.25">
      <c r="B6" s="43" t="s">
        <v>1</v>
      </c>
      <c r="C6" s="61"/>
      <c r="D6" s="61"/>
      <c r="E6" s="28"/>
    </row>
    <row r="7" spans="2:5" x14ac:dyDescent="0.25">
      <c r="B7" s="41" t="s">
        <v>2</v>
      </c>
      <c r="C7" s="42" t="s">
        <v>3</v>
      </c>
      <c r="D7" s="42" t="s">
        <v>4</v>
      </c>
      <c r="E7" s="29" t="s">
        <v>5</v>
      </c>
    </row>
    <row r="8" spans="2:5" x14ac:dyDescent="0.25">
      <c r="B8" s="15" t="s">
        <v>133</v>
      </c>
      <c r="C8" s="8">
        <v>4</v>
      </c>
      <c r="D8" t="s">
        <v>62</v>
      </c>
      <c r="E8" s="17" t="s">
        <v>89</v>
      </c>
    </row>
    <row r="9" spans="2:5" x14ac:dyDescent="0.25">
      <c r="B9" s="15" t="s">
        <v>134</v>
      </c>
      <c r="C9" s="8">
        <v>4096</v>
      </c>
      <c r="D9" t="s">
        <v>62</v>
      </c>
      <c r="E9" s="17" t="s">
        <v>135</v>
      </c>
    </row>
    <row r="10" spans="2:5" x14ac:dyDescent="0.25">
      <c r="B10" s="19" t="s">
        <v>136</v>
      </c>
      <c r="C10" s="7">
        <v>256</v>
      </c>
      <c r="D10" s="20" t="s">
        <v>13</v>
      </c>
      <c r="E10" s="25" t="s">
        <v>137</v>
      </c>
    </row>
    <row r="13" spans="2:5" ht="15.75" x14ac:dyDescent="0.25">
      <c r="B13" s="43" t="s">
        <v>138</v>
      </c>
      <c r="C13" s="61"/>
      <c r="D13" s="61"/>
      <c r="E13" s="22"/>
    </row>
    <row r="14" spans="2:5" x14ac:dyDescent="0.25">
      <c r="B14" s="41" t="s">
        <v>2</v>
      </c>
      <c r="C14" s="42" t="s">
        <v>3</v>
      </c>
      <c r="D14" s="42" t="s">
        <v>4</v>
      </c>
      <c r="E14" s="29" t="s">
        <v>139</v>
      </c>
    </row>
    <row r="15" spans="2:5" x14ac:dyDescent="0.25">
      <c r="B15" s="32"/>
      <c r="C15" s="33"/>
      <c r="D15" s="33"/>
      <c r="E15" s="36"/>
    </row>
    <row r="16" spans="2:5" x14ac:dyDescent="0.25">
      <c r="B16" s="13" t="s">
        <v>18</v>
      </c>
      <c r="C16" s="1"/>
      <c r="D16" s="1"/>
      <c r="E16" s="17"/>
    </row>
    <row r="17" spans="2:5" x14ac:dyDescent="0.25">
      <c r="B17" s="15" t="s">
        <v>140</v>
      </c>
      <c r="C17" s="44">
        <f xml:space="preserve"> C9 * C10/256</f>
        <v>4096</v>
      </c>
      <c r="D17" t="s">
        <v>141</v>
      </c>
      <c r="E17" s="37" t="s">
        <v>224</v>
      </c>
    </row>
    <row r="18" spans="2:5" x14ac:dyDescent="0.25">
      <c r="B18" s="15" t="s">
        <v>142</v>
      </c>
      <c r="C18" s="44">
        <f xml:space="preserve"> 65536 * C10/256</f>
        <v>65536</v>
      </c>
      <c r="D18" t="s">
        <v>141</v>
      </c>
      <c r="E18" s="37" t="s">
        <v>225</v>
      </c>
    </row>
    <row r="19" spans="2:5" x14ac:dyDescent="0.25">
      <c r="B19" s="15" t="s">
        <v>143</v>
      </c>
      <c r="C19" s="44">
        <f xml:space="preserve"> 65536 * C8 * C10/256</f>
        <v>262144</v>
      </c>
      <c r="D19" t="s">
        <v>141</v>
      </c>
      <c r="E19" s="37" t="s">
        <v>226</v>
      </c>
    </row>
    <row r="20" spans="2:5" x14ac:dyDescent="0.25">
      <c r="B20" s="15" t="s">
        <v>144</v>
      </c>
      <c r="C20" s="44">
        <f xml:space="preserve"> 6 * C8 * C10/256</f>
        <v>24</v>
      </c>
      <c r="D20" t="s">
        <v>141</v>
      </c>
      <c r="E20" s="37" t="s">
        <v>227</v>
      </c>
    </row>
    <row r="21" spans="2:5" x14ac:dyDescent="0.25">
      <c r="B21" s="15"/>
      <c r="E21" s="17"/>
    </row>
    <row r="22" spans="2:5" x14ac:dyDescent="0.25">
      <c r="B22" s="13" t="s">
        <v>27</v>
      </c>
      <c r="C22" s="1"/>
      <c r="D22" s="1"/>
      <c r="E22" s="17"/>
    </row>
    <row r="23" spans="2:5" x14ac:dyDescent="0.25">
      <c r="B23" s="15" t="s">
        <v>92</v>
      </c>
      <c r="C23" s="24">
        <v>4096</v>
      </c>
      <c r="D23" t="s">
        <v>13</v>
      </c>
      <c r="E23" s="17" t="s">
        <v>93</v>
      </c>
    </row>
    <row r="24" spans="2:5" x14ac:dyDescent="0.25">
      <c r="B24" s="15" t="s">
        <v>145</v>
      </c>
      <c r="C24" s="38">
        <f>$C$23/C17</f>
        <v>1</v>
      </c>
      <c r="D24" t="s">
        <v>98</v>
      </c>
      <c r="E24" s="17" t="s">
        <v>146</v>
      </c>
    </row>
    <row r="25" spans="2:5" x14ac:dyDescent="0.25">
      <c r="B25" s="15" t="s">
        <v>147</v>
      </c>
      <c r="C25" s="38">
        <f>$C$23/C18</f>
        <v>6.25E-2</v>
      </c>
      <c r="D25" t="s">
        <v>98</v>
      </c>
      <c r="E25" s="17" t="s">
        <v>148</v>
      </c>
    </row>
    <row r="26" spans="2:5" x14ac:dyDescent="0.25">
      <c r="B26" s="15" t="s">
        <v>149</v>
      </c>
      <c r="C26" s="38">
        <f>$C$23/C19</f>
        <v>1.5625E-2</v>
      </c>
      <c r="D26" t="s">
        <v>98</v>
      </c>
      <c r="E26" s="17" t="s">
        <v>150</v>
      </c>
    </row>
    <row r="27" spans="2:5" x14ac:dyDescent="0.25">
      <c r="B27" s="15" t="s">
        <v>151</v>
      </c>
      <c r="C27" s="38">
        <f t="shared" ref="C27" si="0">$C$23/C20</f>
        <v>170.66666666666666</v>
      </c>
      <c r="D27" t="s">
        <v>98</v>
      </c>
      <c r="E27" s="17" t="s">
        <v>152</v>
      </c>
    </row>
    <row r="28" spans="2:5" x14ac:dyDescent="0.25">
      <c r="B28" s="15"/>
      <c r="E28" s="17"/>
    </row>
    <row r="29" spans="2:5" x14ac:dyDescent="0.25">
      <c r="B29" s="13" t="s">
        <v>38</v>
      </c>
      <c r="C29" s="1"/>
      <c r="D29" s="1"/>
      <c r="E29" s="17"/>
    </row>
    <row r="30" spans="2:5" x14ac:dyDescent="0.25">
      <c r="B30" s="15" t="s">
        <v>153</v>
      </c>
      <c r="C30" s="45">
        <v>1</v>
      </c>
      <c r="D30" t="s">
        <v>98</v>
      </c>
      <c r="E30" s="17" t="s">
        <v>154</v>
      </c>
    </row>
    <row r="31" spans="2:5" x14ac:dyDescent="0.25">
      <c r="B31" s="15" t="s">
        <v>155</v>
      </c>
      <c r="C31" s="12">
        <f>TRUNC($C$30*C17, 0)</f>
        <v>4096</v>
      </c>
      <c r="D31" t="s">
        <v>13</v>
      </c>
      <c r="E31" s="17" t="s">
        <v>146</v>
      </c>
    </row>
    <row r="32" spans="2:5" x14ac:dyDescent="0.25">
      <c r="B32" s="15" t="s">
        <v>156</v>
      </c>
      <c r="C32" s="12">
        <f>TRUNC($C$30*C18, 0)</f>
        <v>65536</v>
      </c>
      <c r="D32" t="s">
        <v>13</v>
      </c>
      <c r="E32" s="17" t="s">
        <v>148</v>
      </c>
    </row>
    <row r="33" spans="2:5" x14ac:dyDescent="0.25">
      <c r="B33" s="15" t="s">
        <v>157</v>
      </c>
      <c r="C33" s="12">
        <f>TRUNC($C$30*C19, 0)</f>
        <v>262144</v>
      </c>
      <c r="D33" t="s">
        <v>13</v>
      </c>
      <c r="E33" s="17" t="s">
        <v>150</v>
      </c>
    </row>
    <row r="34" spans="2:5" x14ac:dyDescent="0.25">
      <c r="B34" s="19" t="s">
        <v>158</v>
      </c>
      <c r="C34" s="12">
        <f>TRUNC($C$30*C20, 0)</f>
        <v>24</v>
      </c>
      <c r="D34" s="20" t="s">
        <v>13</v>
      </c>
      <c r="E34" s="21" t="s">
        <v>152</v>
      </c>
    </row>
    <row r="37" spans="2:5" x14ac:dyDescent="0.25">
      <c r="B37" s="1" t="s">
        <v>56</v>
      </c>
    </row>
    <row r="38" spans="2:5" x14ac:dyDescent="0.25">
      <c r="B38" s="7" t="s">
        <v>249</v>
      </c>
    </row>
    <row r="39" spans="2:5" x14ac:dyDescent="0.25">
      <c r="B39" s="8" t="s">
        <v>250</v>
      </c>
    </row>
    <row r="40" spans="2:5" x14ac:dyDescent="0.25">
      <c r="B40" s="9" t="s">
        <v>57</v>
      </c>
    </row>
    <row r="41" spans="2:5" x14ac:dyDescent="0.25">
      <c r="B41" s="10" t="s">
        <v>58</v>
      </c>
    </row>
    <row r="42" spans="2:5" x14ac:dyDescent="0.25">
      <c r="B42" s="4" t="s">
        <v>59</v>
      </c>
    </row>
  </sheetData>
  <sheetProtection algorithmName="SHA-512" hashValue="zQi8ZN3vEfKs1pYtr78FuhOXbS9QFj7VYJKroyZIwX/Oc0OOUUa7SxLtDxyzFhFvMTAi5m0PyhZGQW09V706yA==" saltValue="RS+woi8dPOcr7G521+vpyA==" spinCount="100000" sheet="1" objects="1" scenarios="1"/>
  <protectedRanges>
    <protectedRange sqref="C8:C10 C23 C30" name="Range1"/>
  </protectedRanges>
  <mergeCells count="1">
    <mergeCell ref="B3:E3"/>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3D26F-AA86-4A1A-81B3-B87857D566CD}">
  <dimension ref="B2:E74"/>
  <sheetViews>
    <sheetView zoomScaleNormal="100" workbookViewId="0"/>
  </sheetViews>
  <sheetFormatPr defaultColWidth="9.140625" defaultRowHeight="15" x14ac:dyDescent="0.25"/>
  <cols>
    <col min="1" max="1" width="2.85546875" customWidth="1"/>
    <col min="2" max="2" width="34.85546875" customWidth="1"/>
    <col min="3" max="3" width="11.28515625" customWidth="1"/>
    <col min="4" max="4" width="10.140625" customWidth="1"/>
    <col min="5" max="5" width="93.42578125" customWidth="1"/>
  </cols>
  <sheetData>
    <row r="2" spans="2:5" ht="15.75" x14ac:dyDescent="0.25">
      <c r="B2" s="48" t="s">
        <v>0</v>
      </c>
      <c r="C2" s="50"/>
      <c r="D2" s="50"/>
      <c r="E2" s="30"/>
    </row>
    <row r="3" spans="2:5" ht="210" customHeight="1" x14ac:dyDescent="0.25">
      <c r="B3" s="67" t="s">
        <v>247</v>
      </c>
      <c r="C3" s="68"/>
      <c r="D3" s="68"/>
      <c r="E3" s="69"/>
    </row>
    <row r="4" spans="2:5" x14ac:dyDescent="0.25">
      <c r="B4" s="49"/>
    </row>
    <row r="6" spans="2:5" ht="15.75" x14ac:dyDescent="0.25">
      <c r="B6" s="43" t="s">
        <v>84</v>
      </c>
      <c r="C6" s="61"/>
      <c r="D6" s="61"/>
      <c r="E6" s="22"/>
    </row>
    <row r="7" spans="2:5" x14ac:dyDescent="0.25">
      <c r="B7" s="32" t="s">
        <v>2</v>
      </c>
      <c r="C7" s="33" t="s">
        <v>3</v>
      </c>
      <c r="D7" s="33" t="s">
        <v>4</v>
      </c>
      <c r="E7" s="36" t="s">
        <v>5</v>
      </c>
    </row>
    <row r="8" spans="2:5" x14ac:dyDescent="0.25">
      <c r="B8" s="34" t="s">
        <v>85</v>
      </c>
      <c r="C8" s="55">
        <v>60000000</v>
      </c>
      <c r="D8" s="31" t="s">
        <v>86</v>
      </c>
      <c r="E8" s="30" t="s">
        <v>87</v>
      </c>
    </row>
    <row r="9" spans="2:5" x14ac:dyDescent="0.25">
      <c r="B9" s="15" t="s">
        <v>159</v>
      </c>
      <c r="C9" s="56">
        <v>120000000</v>
      </c>
      <c r="D9" t="s">
        <v>86</v>
      </c>
      <c r="E9" s="17" t="s">
        <v>160</v>
      </c>
    </row>
    <row r="10" spans="2:5" x14ac:dyDescent="0.25">
      <c r="B10" s="15" t="s">
        <v>88</v>
      </c>
      <c r="C10" s="27">
        <v>4</v>
      </c>
      <c r="D10" t="s">
        <v>62</v>
      </c>
      <c r="E10" s="17" t="s">
        <v>89</v>
      </c>
    </row>
    <row r="11" spans="2:5" x14ac:dyDescent="0.25">
      <c r="B11" s="15" t="s">
        <v>134</v>
      </c>
      <c r="C11" s="27">
        <v>4096</v>
      </c>
      <c r="D11" t="s">
        <v>62</v>
      </c>
      <c r="E11" s="17" t="s">
        <v>135</v>
      </c>
    </row>
    <row r="12" spans="2:5" x14ac:dyDescent="0.25">
      <c r="B12" s="15" t="s">
        <v>136</v>
      </c>
      <c r="C12" s="24">
        <v>256</v>
      </c>
      <c r="D12" t="s">
        <v>13</v>
      </c>
      <c r="E12" s="47" t="s">
        <v>137</v>
      </c>
    </row>
    <row r="13" spans="2:5" ht="30" x14ac:dyDescent="0.25">
      <c r="B13" s="15" t="s">
        <v>161</v>
      </c>
      <c r="C13" s="24">
        <v>4800</v>
      </c>
      <c r="D13" t="s">
        <v>13</v>
      </c>
      <c r="E13" s="16" t="s">
        <v>162</v>
      </c>
    </row>
    <row r="14" spans="2:5" ht="30" x14ac:dyDescent="0.25">
      <c r="B14" s="15" t="s">
        <v>163</v>
      </c>
      <c r="C14" s="24">
        <v>0</v>
      </c>
      <c r="D14" t="s">
        <v>13</v>
      </c>
      <c r="E14" s="16" t="s">
        <v>164</v>
      </c>
    </row>
    <row r="15" spans="2:5" ht="30" x14ac:dyDescent="0.25">
      <c r="B15" s="15" t="s">
        <v>165</v>
      </c>
      <c r="C15" s="12">
        <f>ROUND(2^24/C8*C17,0)</f>
        <v>6991</v>
      </c>
      <c r="D15" t="s">
        <v>13</v>
      </c>
      <c r="E15" s="16" t="s">
        <v>166</v>
      </c>
    </row>
    <row r="16" spans="2:5" x14ac:dyDescent="0.25">
      <c r="B16" s="15" t="s">
        <v>167</v>
      </c>
      <c r="C16" s="11">
        <f>C9/C13</f>
        <v>25000</v>
      </c>
      <c r="D16" t="s">
        <v>86</v>
      </c>
      <c r="E16" s="17" t="s">
        <v>168</v>
      </c>
    </row>
    <row r="17" spans="2:5" x14ac:dyDescent="0.25">
      <c r="B17" s="19" t="s">
        <v>169</v>
      </c>
      <c r="C17" s="11">
        <f>C16/(C14+1)</f>
        <v>25000</v>
      </c>
      <c r="D17" s="20" t="s">
        <v>86</v>
      </c>
      <c r="E17" s="21" t="s">
        <v>170</v>
      </c>
    </row>
    <row r="20" spans="2:5" ht="15.75" x14ac:dyDescent="0.25">
      <c r="B20" s="43" t="s">
        <v>171</v>
      </c>
      <c r="C20" s="61"/>
      <c r="D20" s="61"/>
      <c r="E20" s="29"/>
    </row>
    <row r="21" spans="2:5" x14ac:dyDescent="0.25">
      <c r="B21" s="41" t="s">
        <v>2</v>
      </c>
      <c r="C21" s="42" t="s">
        <v>3</v>
      </c>
      <c r="D21" s="42" t="s">
        <v>4</v>
      </c>
      <c r="E21" s="29" t="s">
        <v>139</v>
      </c>
    </row>
    <row r="22" spans="2:5" x14ac:dyDescent="0.25">
      <c r="B22" s="15"/>
      <c r="E22" s="14"/>
    </row>
    <row r="23" spans="2:5" x14ac:dyDescent="0.25">
      <c r="B23" s="13" t="s">
        <v>18</v>
      </c>
      <c r="E23" s="17"/>
    </row>
    <row r="24" spans="2:5" x14ac:dyDescent="0.25">
      <c r="B24" s="15" t="s">
        <v>172</v>
      </c>
      <c r="C24" s="35">
        <f>C11 * $C$12/256 * 2^24 / $C$8 / 60</f>
        <v>19.088743537777777</v>
      </c>
      <c r="D24" t="s">
        <v>104</v>
      </c>
      <c r="E24" s="37" t="s">
        <v>221</v>
      </c>
    </row>
    <row r="25" spans="2:5" x14ac:dyDescent="0.25">
      <c r="B25" s="15" t="s">
        <v>173</v>
      </c>
      <c r="C25" s="35">
        <f>65536 * $C$12/256 * 2^24 / $C$8 / 60</f>
        <v>305.41989660444443</v>
      </c>
      <c r="D25" t="s">
        <v>104</v>
      </c>
      <c r="E25" s="37" t="s">
        <v>220</v>
      </c>
    </row>
    <row r="26" spans="2:5" x14ac:dyDescent="0.25">
      <c r="B26" s="15" t="s">
        <v>174</v>
      </c>
      <c r="C26" s="35">
        <f>65536 * C10 * $C$12/256 * 2^24 / $C$8 / 60</f>
        <v>1221.6795864177777</v>
      </c>
      <c r="D26" t="s">
        <v>104</v>
      </c>
      <c r="E26" s="37" t="s">
        <v>222</v>
      </c>
    </row>
    <row r="27" spans="2:5" x14ac:dyDescent="0.25">
      <c r="B27" s="15" t="s">
        <v>175</v>
      </c>
      <c r="C27" s="35">
        <f>6 * C10 * $C$12/256 * 2^24 / $C$8 / 60</f>
        <v>0.11184810666666666</v>
      </c>
      <c r="D27" t="s">
        <v>104</v>
      </c>
      <c r="E27" s="37" t="s">
        <v>223</v>
      </c>
    </row>
    <row r="28" spans="2:5" x14ac:dyDescent="0.25">
      <c r="B28" s="15"/>
      <c r="E28" s="17"/>
    </row>
    <row r="29" spans="2:5" x14ac:dyDescent="0.25">
      <c r="B29" s="13" t="s">
        <v>27</v>
      </c>
      <c r="E29" s="17"/>
    </row>
    <row r="30" spans="2:5" x14ac:dyDescent="0.25">
      <c r="B30" s="15" t="s">
        <v>108</v>
      </c>
      <c r="C30" s="7">
        <v>1800</v>
      </c>
      <c r="D30" t="s">
        <v>13</v>
      </c>
      <c r="E30" s="17" t="s">
        <v>109</v>
      </c>
    </row>
    <row r="31" spans="2:5" x14ac:dyDescent="0.25">
      <c r="B31" s="15" t="s">
        <v>176</v>
      </c>
      <c r="C31" s="18">
        <f>$C$30/C24</f>
        <v>94.2964106798172</v>
      </c>
      <c r="D31" t="s">
        <v>111</v>
      </c>
      <c r="E31" s="17" t="s">
        <v>146</v>
      </c>
    </row>
    <row r="32" spans="2:5" x14ac:dyDescent="0.25">
      <c r="B32" s="15" t="s">
        <v>177</v>
      </c>
      <c r="C32" s="18">
        <f>$C$30/C25</f>
        <v>5.893525667488575</v>
      </c>
      <c r="D32" t="s">
        <v>111</v>
      </c>
      <c r="E32" s="17" t="s">
        <v>148</v>
      </c>
    </row>
    <row r="33" spans="2:5" x14ac:dyDescent="0.25">
      <c r="B33" s="15" t="s">
        <v>178</v>
      </c>
      <c r="C33" s="18">
        <f>$C$30/C26</f>
        <v>1.4733814168721437</v>
      </c>
      <c r="D33" t="s">
        <v>111</v>
      </c>
      <c r="E33" s="17" t="s">
        <v>150</v>
      </c>
    </row>
    <row r="34" spans="2:5" x14ac:dyDescent="0.25">
      <c r="B34" s="15" t="s">
        <v>179</v>
      </c>
      <c r="C34" s="18">
        <f>$C$30/C27</f>
        <v>16093.254089355471</v>
      </c>
      <c r="D34" t="s">
        <v>111</v>
      </c>
      <c r="E34" s="17" t="s">
        <v>152</v>
      </c>
    </row>
    <row r="35" spans="2:5" x14ac:dyDescent="0.25">
      <c r="B35" s="15"/>
      <c r="E35" s="17"/>
    </row>
    <row r="36" spans="2:5" x14ac:dyDescent="0.25">
      <c r="B36" s="13" t="s">
        <v>38</v>
      </c>
      <c r="E36" s="17"/>
    </row>
    <row r="37" spans="2:5" x14ac:dyDescent="0.25">
      <c r="B37" s="15" t="s">
        <v>180</v>
      </c>
      <c r="C37" s="8">
        <v>1000</v>
      </c>
      <c r="D37" t="s">
        <v>111</v>
      </c>
      <c r="E37" s="17" t="s">
        <v>181</v>
      </c>
    </row>
    <row r="38" spans="2:5" x14ac:dyDescent="0.25">
      <c r="B38" s="15" t="s">
        <v>182</v>
      </c>
      <c r="C38" s="12">
        <f>TRUNC($C$37*C24)</f>
        <v>19088</v>
      </c>
      <c r="D38" t="s">
        <v>13</v>
      </c>
      <c r="E38" s="17" t="s">
        <v>146</v>
      </c>
    </row>
    <row r="39" spans="2:5" x14ac:dyDescent="0.25">
      <c r="B39" s="15" t="s">
        <v>183</v>
      </c>
      <c r="C39" s="12">
        <f>TRUNC($C$37*C25)</f>
        <v>305419</v>
      </c>
      <c r="D39" t="s">
        <v>13</v>
      </c>
      <c r="E39" s="17" t="s">
        <v>148</v>
      </c>
    </row>
    <row r="40" spans="2:5" x14ac:dyDescent="0.25">
      <c r="B40" s="15" t="s">
        <v>184</v>
      </c>
      <c r="C40" s="12">
        <f>TRUNC($C$37*C26)</f>
        <v>1221679</v>
      </c>
      <c r="D40" t="s">
        <v>13</v>
      </c>
      <c r="E40" s="17" t="s">
        <v>150</v>
      </c>
    </row>
    <row r="41" spans="2:5" x14ac:dyDescent="0.25">
      <c r="B41" s="19" t="s">
        <v>185</v>
      </c>
      <c r="C41" s="12">
        <f>TRUNC($C$37*C27)</f>
        <v>111</v>
      </c>
      <c r="D41" s="20" t="s">
        <v>13</v>
      </c>
      <c r="E41" s="21" t="s">
        <v>152</v>
      </c>
    </row>
    <row r="42" spans="2:5" x14ac:dyDescent="0.25">
      <c r="E42" s="1"/>
    </row>
    <row r="43" spans="2:5" x14ac:dyDescent="0.25">
      <c r="E43" s="1"/>
    </row>
    <row r="44" spans="2:5" ht="15.75" x14ac:dyDescent="0.25">
      <c r="B44" s="43" t="s">
        <v>186</v>
      </c>
      <c r="C44" s="61"/>
      <c r="D44" s="61"/>
      <c r="E44" s="29"/>
    </row>
    <row r="45" spans="2:5" x14ac:dyDescent="0.25">
      <c r="B45" s="41" t="s">
        <v>2</v>
      </c>
      <c r="C45" s="42" t="s">
        <v>3</v>
      </c>
      <c r="D45" s="42" t="s">
        <v>4</v>
      </c>
      <c r="E45" s="29" t="s">
        <v>139</v>
      </c>
    </row>
    <row r="46" spans="2:5" x14ac:dyDescent="0.25">
      <c r="B46" s="34"/>
      <c r="C46" s="31"/>
      <c r="D46" s="31"/>
      <c r="E46" s="36"/>
    </row>
    <row r="47" spans="2:5" x14ac:dyDescent="0.25">
      <c r="B47" s="13" t="s">
        <v>18</v>
      </c>
      <c r="E47" s="17"/>
    </row>
    <row r="48" spans="2:5" x14ac:dyDescent="0.25">
      <c r="B48" s="15" t="s">
        <v>172</v>
      </c>
      <c r="C48" s="35">
        <f xml:space="preserve"> C11 * $C$12/256 * $C$15 / $C$17 / 60</f>
        <v>19.090090666666665</v>
      </c>
      <c r="D48" t="s">
        <v>104</v>
      </c>
      <c r="E48" s="37" t="s">
        <v>234</v>
      </c>
    </row>
    <row r="49" spans="2:5" x14ac:dyDescent="0.25">
      <c r="B49" s="15" t="s">
        <v>173</v>
      </c>
      <c r="C49" s="35">
        <f xml:space="preserve"> 65536 * $C$12/256 * $C$15 / $C$17 / 60</f>
        <v>305.44145066666664</v>
      </c>
      <c r="D49" t="s">
        <v>104</v>
      </c>
      <c r="E49" s="37" t="s">
        <v>235</v>
      </c>
    </row>
    <row r="50" spans="2:5" x14ac:dyDescent="0.25">
      <c r="B50" s="15" t="s">
        <v>174</v>
      </c>
      <c r="C50" s="35">
        <f xml:space="preserve"> 65536 * C10 * $C$12/256 * $C$15 / $C$17 / 60</f>
        <v>1221.7658026666666</v>
      </c>
      <c r="D50" t="s">
        <v>104</v>
      </c>
      <c r="E50" s="37" t="s">
        <v>236</v>
      </c>
    </row>
    <row r="51" spans="2:5" x14ac:dyDescent="0.25">
      <c r="B51" s="15" t="s">
        <v>175</v>
      </c>
      <c r="C51" s="35">
        <f xml:space="preserve"> 6 * C10 * $C$12/256 * $C$15 / $C$17 / 60</f>
        <v>0.111856</v>
      </c>
      <c r="D51" t="s">
        <v>104</v>
      </c>
      <c r="E51" s="37" t="s">
        <v>237</v>
      </c>
    </row>
    <row r="52" spans="2:5" x14ac:dyDescent="0.25">
      <c r="B52" s="15"/>
      <c r="E52" s="17"/>
    </row>
    <row r="53" spans="2:5" x14ac:dyDescent="0.25">
      <c r="B53" s="13" t="s">
        <v>27</v>
      </c>
      <c r="E53" s="17"/>
    </row>
    <row r="54" spans="2:5" x14ac:dyDescent="0.25">
      <c r="B54" s="15" t="s">
        <v>108</v>
      </c>
      <c r="C54" s="7">
        <v>1000</v>
      </c>
      <c r="D54" t="s">
        <v>13</v>
      </c>
      <c r="E54" s="17" t="s">
        <v>109</v>
      </c>
    </row>
    <row r="55" spans="2:5" x14ac:dyDescent="0.25">
      <c r="B55" s="15" t="s">
        <v>176</v>
      </c>
      <c r="C55" s="18">
        <f>$C$54/C48</f>
        <v>52.383198040337582</v>
      </c>
      <c r="D55" t="s">
        <v>111</v>
      </c>
      <c r="E55" s="17" t="s">
        <v>146</v>
      </c>
    </row>
    <row r="56" spans="2:5" x14ac:dyDescent="0.25">
      <c r="B56" s="15" t="s">
        <v>177</v>
      </c>
      <c r="C56" s="18">
        <f>$C$54/C49</f>
        <v>3.2739498775210989</v>
      </c>
      <c r="D56" t="s">
        <v>111</v>
      </c>
      <c r="E56" s="17" t="s">
        <v>148</v>
      </c>
    </row>
    <row r="57" spans="2:5" x14ac:dyDescent="0.25">
      <c r="B57" s="15" t="s">
        <v>178</v>
      </c>
      <c r="C57" s="18">
        <f>$C$54/C50</f>
        <v>0.81848746938027472</v>
      </c>
      <c r="D57" t="s">
        <v>111</v>
      </c>
      <c r="E57" s="17" t="s">
        <v>150</v>
      </c>
    </row>
    <row r="58" spans="2:5" x14ac:dyDescent="0.25">
      <c r="B58" s="15" t="s">
        <v>179</v>
      </c>
      <c r="C58" s="18">
        <f>$C$54/C51</f>
        <v>8940.0657988842795</v>
      </c>
      <c r="D58" t="s">
        <v>111</v>
      </c>
      <c r="E58" s="17" t="s">
        <v>152</v>
      </c>
    </row>
    <row r="59" spans="2:5" x14ac:dyDescent="0.25">
      <c r="B59" s="15"/>
      <c r="E59" s="17"/>
    </row>
    <row r="60" spans="2:5" x14ac:dyDescent="0.25">
      <c r="B60" s="13" t="s">
        <v>38</v>
      </c>
      <c r="E60" s="17"/>
    </row>
    <row r="61" spans="2:5" x14ac:dyDescent="0.25">
      <c r="B61" s="15" t="s">
        <v>180</v>
      </c>
      <c r="C61" s="8">
        <v>8940</v>
      </c>
      <c r="D61" t="s">
        <v>111</v>
      </c>
      <c r="E61" s="17" t="s">
        <v>181</v>
      </c>
    </row>
    <row r="62" spans="2:5" x14ac:dyDescent="0.25">
      <c r="B62" s="15" t="s">
        <v>182</v>
      </c>
      <c r="C62" s="12">
        <f>TRUNC($C$61*C48)</f>
        <v>170665</v>
      </c>
      <c r="D62" t="s">
        <v>13</v>
      </c>
      <c r="E62" s="17" t="s">
        <v>146</v>
      </c>
    </row>
    <row r="63" spans="2:5" x14ac:dyDescent="0.25">
      <c r="B63" s="15" t="s">
        <v>183</v>
      </c>
      <c r="C63" s="12">
        <f>TRUNC($C$61*C49)</f>
        <v>2730646</v>
      </c>
      <c r="D63" t="s">
        <v>13</v>
      </c>
      <c r="E63" s="17" t="s">
        <v>148</v>
      </c>
    </row>
    <row r="64" spans="2:5" x14ac:dyDescent="0.25">
      <c r="B64" s="15" t="s">
        <v>184</v>
      </c>
      <c r="C64" s="12">
        <f>TRUNC($C$61*C50)</f>
        <v>10922586</v>
      </c>
      <c r="D64" t="s">
        <v>13</v>
      </c>
      <c r="E64" s="17" t="s">
        <v>150</v>
      </c>
    </row>
    <row r="65" spans="2:5" x14ac:dyDescent="0.25">
      <c r="B65" s="19" t="s">
        <v>185</v>
      </c>
      <c r="C65" s="12">
        <f>TRUNC($C$61*C51)</f>
        <v>999</v>
      </c>
      <c r="D65" s="20" t="s">
        <v>13</v>
      </c>
      <c r="E65" s="21" t="s">
        <v>152</v>
      </c>
    </row>
    <row r="66" spans="2:5" x14ac:dyDescent="0.25">
      <c r="E66" s="1"/>
    </row>
    <row r="68" spans="2:5" x14ac:dyDescent="0.25">
      <c r="B68" s="1" t="s">
        <v>56</v>
      </c>
    </row>
    <row r="69" spans="2:5" x14ac:dyDescent="0.25">
      <c r="B69" s="7" t="s">
        <v>249</v>
      </c>
    </row>
    <row r="70" spans="2:5" x14ac:dyDescent="0.25">
      <c r="B70" s="8" t="s">
        <v>250</v>
      </c>
    </row>
    <row r="71" spans="2:5" x14ac:dyDescent="0.25">
      <c r="B71" s="9" t="s">
        <v>57</v>
      </c>
    </row>
    <row r="72" spans="2:5" x14ac:dyDescent="0.25">
      <c r="B72" s="10" t="s">
        <v>58</v>
      </c>
    </row>
    <row r="73" spans="2:5" x14ac:dyDescent="0.25">
      <c r="B73" s="4" t="s">
        <v>59</v>
      </c>
    </row>
    <row r="74" spans="2:5" x14ac:dyDescent="0.25">
      <c r="B74" s="54" t="s">
        <v>60</v>
      </c>
    </row>
  </sheetData>
  <sheetProtection algorithmName="SHA-512" hashValue="MY36bdTkD45x4Ys4oaMgzU9i/m4y+TUNS/MvWNXGA4ERTuSxIlQVqwX1qMN7qrHrPFwx6rkHb85CegUXPfeRLQ==" saltValue="f/5gSabmzpICEfO9PAehYw==" spinCount="100000" sheet="1" objects="1" scenarios="1"/>
  <protectedRanges>
    <protectedRange sqref="C30 C37 C10:C14 C54 C61" name="Range1"/>
  </protectedRanges>
  <mergeCells count="1">
    <mergeCell ref="B3:E3"/>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DAB7B-1220-4DE8-9A46-0962F4753318}">
  <dimension ref="B2:E71"/>
  <sheetViews>
    <sheetView zoomScaleNormal="100" workbookViewId="0"/>
  </sheetViews>
  <sheetFormatPr defaultColWidth="9.140625" defaultRowHeight="15" x14ac:dyDescent="0.25"/>
  <cols>
    <col min="1" max="1" width="2.85546875" customWidth="1"/>
    <col min="2" max="2" width="31.7109375" customWidth="1"/>
    <col min="3" max="3" width="12.140625" customWidth="1"/>
    <col min="4" max="4" width="10.28515625" customWidth="1"/>
    <col min="5" max="5" width="93.140625" bestFit="1" customWidth="1"/>
  </cols>
  <sheetData>
    <row r="2" spans="2:5" ht="15.75" x14ac:dyDescent="0.25">
      <c r="B2" s="43" t="s">
        <v>0</v>
      </c>
      <c r="C2" s="51"/>
      <c r="D2" s="51"/>
      <c r="E2" s="22"/>
    </row>
    <row r="3" spans="2:5" ht="76.5" customHeight="1" x14ac:dyDescent="0.25">
      <c r="B3" s="67" t="s">
        <v>248</v>
      </c>
      <c r="C3" s="68"/>
      <c r="D3" s="68"/>
      <c r="E3" s="69"/>
    </row>
    <row r="4" spans="2:5" x14ac:dyDescent="0.25">
      <c r="C4" s="2"/>
      <c r="D4" s="1"/>
      <c r="E4" s="1"/>
    </row>
    <row r="6" spans="2:5" ht="15.75" x14ac:dyDescent="0.25">
      <c r="B6" s="43" t="s">
        <v>84</v>
      </c>
      <c r="C6" s="61"/>
      <c r="D6" s="61"/>
      <c r="E6" s="22"/>
    </row>
    <row r="7" spans="2:5" x14ac:dyDescent="0.25">
      <c r="B7" s="32" t="s">
        <v>2</v>
      </c>
      <c r="C7" s="33" t="s">
        <v>3</v>
      </c>
      <c r="D7" s="33" t="s">
        <v>4</v>
      </c>
      <c r="E7" s="36" t="s">
        <v>5</v>
      </c>
    </row>
    <row r="8" spans="2:5" x14ac:dyDescent="0.25">
      <c r="B8" s="39" t="s">
        <v>85</v>
      </c>
      <c r="C8" s="53">
        <v>60000000</v>
      </c>
      <c r="D8" s="40" t="s">
        <v>86</v>
      </c>
      <c r="E8" s="22" t="s">
        <v>87</v>
      </c>
    </row>
    <row r="11" spans="2:5" ht="15.75" x14ac:dyDescent="0.25">
      <c r="B11" s="43" t="s">
        <v>187</v>
      </c>
      <c r="C11" s="61"/>
      <c r="D11" s="61"/>
      <c r="E11" s="29"/>
    </row>
    <row r="12" spans="2:5" x14ac:dyDescent="0.25">
      <c r="B12" s="41" t="s">
        <v>2</v>
      </c>
      <c r="C12" s="42" t="s">
        <v>3</v>
      </c>
      <c r="D12" s="42" t="s">
        <v>4</v>
      </c>
      <c r="E12" s="29" t="s">
        <v>139</v>
      </c>
    </row>
    <row r="13" spans="2:5" x14ac:dyDescent="0.25">
      <c r="B13" s="34"/>
      <c r="C13" s="31"/>
      <c r="D13" s="31"/>
      <c r="E13" s="36"/>
    </row>
    <row r="14" spans="2:5" x14ac:dyDescent="0.25">
      <c r="B14" s="13" t="s">
        <v>188</v>
      </c>
      <c r="E14" s="26"/>
    </row>
    <row r="15" spans="2:5" x14ac:dyDescent="0.25">
      <c r="B15" s="15" t="s">
        <v>172</v>
      </c>
      <c r="C15" s="35">
        <f>'Velocity scaling'!C24</f>
        <v>19.088743537777777</v>
      </c>
      <c r="D15" t="s">
        <v>104</v>
      </c>
      <c r="E15" s="26" t="s">
        <v>189</v>
      </c>
    </row>
    <row r="16" spans="2:5" x14ac:dyDescent="0.25">
      <c r="B16" s="15" t="s">
        <v>173</v>
      </c>
      <c r="C16" s="35">
        <f>'Velocity scaling'!C25</f>
        <v>305.41989660444443</v>
      </c>
      <c r="D16" t="s">
        <v>104</v>
      </c>
      <c r="E16" s="26" t="s">
        <v>189</v>
      </c>
    </row>
    <row r="17" spans="2:5" x14ac:dyDescent="0.25">
      <c r="B17" s="15" t="s">
        <v>174</v>
      </c>
      <c r="C17" s="35">
        <f>'Velocity scaling'!C26</f>
        <v>1221.6795864177777</v>
      </c>
      <c r="D17" t="s">
        <v>104</v>
      </c>
      <c r="E17" s="26" t="s">
        <v>189</v>
      </c>
    </row>
    <row r="18" spans="2:5" x14ac:dyDescent="0.25">
      <c r="B18" s="15" t="s">
        <v>175</v>
      </c>
      <c r="C18" s="35">
        <f>'Velocity scaling'!C27</f>
        <v>0.11184810666666666</v>
      </c>
      <c r="D18" t="s">
        <v>104</v>
      </c>
      <c r="E18" s="26" t="s">
        <v>189</v>
      </c>
    </row>
    <row r="19" spans="2:5" x14ac:dyDescent="0.25">
      <c r="B19" s="15"/>
      <c r="E19" s="17"/>
    </row>
    <row r="20" spans="2:5" x14ac:dyDescent="0.25">
      <c r="B20" s="13" t="s">
        <v>27</v>
      </c>
      <c r="E20" s="17"/>
    </row>
    <row r="21" spans="2:5" x14ac:dyDescent="0.25">
      <c r="B21" s="15" t="s">
        <v>118</v>
      </c>
      <c r="C21" s="7">
        <v>1000</v>
      </c>
      <c r="D21" t="s">
        <v>13</v>
      </c>
      <c r="E21" s="17" t="s">
        <v>119</v>
      </c>
    </row>
    <row r="22" spans="2:5" x14ac:dyDescent="0.25">
      <c r="B22" s="15" t="s">
        <v>190</v>
      </c>
      <c r="C22" s="18">
        <f xml:space="preserve"> $C$21 / C15 / 60 / 2^17 * $C$8</f>
        <v>399.68028886505635</v>
      </c>
      <c r="D22" t="s">
        <v>121</v>
      </c>
      <c r="E22" s="17" t="s">
        <v>146</v>
      </c>
    </row>
    <row r="23" spans="2:5" x14ac:dyDescent="0.25">
      <c r="B23" s="15" t="s">
        <v>191</v>
      </c>
      <c r="C23" s="18">
        <f xml:space="preserve"> $C$21 / C16 / 60 / 2^17 * $C$8</f>
        <v>24.980018054066022</v>
      </c>
      <c r="D23" t="s">
        <v>121</v>
      </c>
      <c r="E23" s="17" t="s">
        <v>148</v>
      </c>
    </row>
    <row r="24" spans="2:5" x14ac:dyDescent="0.25">
      <c r="B24" s="15" t="s">
        <v>192</v>
      </c>
      <c r="C24" s="18">
        <f xml:space="preserve"> $C$21 / C17 / 60 / 2^17 * $C$8</f>
        <v>6.2450045135165055</v>
      </c>
      <c r="D24" t="s">
        <v>121</v>
      </c>
      <c r="E24" s="17" t="s">
        <v>150</v>
      </c>
    </row>
    <row r="25" spans="2:5" x14ac:dyDescent="0.25">
      <c r="B25" s="15" t="s">
        <v>193</v>
      </c>
      <c r="C25" s="18">
        <f xml:space="preserve"> $C$21 / C18 / 60 / 2^17 * $C$8</f>
        <v>68212.102632969632</v>
      </c>
      <c r="D25" t="s">
        <v>121</v>
      </c>
      <c r="E25" s="17" t="s">
        <v>152</v>
      </c>
    </row>
    <row r="26" spans="2:5" x14ac:dyDescent="0.25">
      <c r="B26" s="15"/>
      <c r="E26" s="17"/>
    </row>
    <row r="27" spans="2:5" x14ac:dyDescent="0.25">
      <c r="B27" s="13" t="s">
        <v>38</v>
      </c>
      <c r="E27" s="17"/>
    </row>
    <row r="28" spans="2:5" x14ac:dyDescent="0.25">
      <c r="B28" s="15" t="s">
        <v>123</v>
      </c>
      <c r="C28" s="8">
        <v>0</v>
      </c>
      <c r="D28" t="s">
        <v>111</v>
      </c>
      <c r="E28" s="17" t="s">
        <v>124</v>
      </c>
    </row>
    <row r="29" spans="2:5" x14ac:dyDescent="0.25">
      <c r="B29" s="15" t="s">
        <v>125</v>
      </c>
      <c r="C29" s="8">
        <v>5000</v>
      </c>
      <c r="D29" t="s">
        <v>111</v>
      </c>
      <c r="E29" s="17" t="s">
        <v>126</v>
      </c>
    </row>
    <row r="30" spans="2:5" x14ac:dyDescent="0.25">
      <c r="B30" s="15" t="s">
        <v>127</v>
      </c>
      <c r="C30" s="8">
        <v>1</v>
      </c>
      <c r="D30" t="s">
        <v>128</v>
      </c>
      <c r="E30" s="17" t="s">
        <v>129</v>
      </c>
    </row>
    <row r="31" spans="2:5" x14ac:dyDescent="0.25">
      <c r="B31" s="15" t="s">
        <v>130</v>
      </c>
      <c r="C31" s="52">
        <f>ABS((C29-C28) / C30)</f>
        <v>5000</v>
      </c>
      <c r="D31" t="s">
        <v>121</v>
      </c>
      <c r="E31" s="17" t="s">
        <v>194</v>
      </c>
    </row>
    <row r="32" spans="2:5" x14ac:dyDescent="0.25">
      <c r="B32" s="15" t="s">
        <v>195</v>
      </c>
      <c r="C32" s="12">
        <f>TRUNC($C$31 * C15 * 2^17 / $C$8)</f>
        <v>208</v>
      </c>
      <c r="D32" t="s">
        <v>13</v>
      </c>
      <c r="E32" s="17" t="s">
        <v>146</v>
      </c>
    </row>
    <row r="33" spans="2:5" x14ac:dyDescent="0.25">
      <c r="B33" s="15" t="s">
        <v>196</v>
      </c>
      <c r="C33" s="12">
        <f>TRUNC($C$31 * C16 * 2^17 / $C$8)</f>
        <v>3335</v>
      </c>
      <c r="D33" t="s">
        <v>13</v>
      </c>
      <c r="E33" s="17" t="s">
        <v>148</v>
      </c>
    </row>
    <row r="34" spans="2:5" x14ac:dyDescent="0.25">
      <c r="B34" s="15" t="s">
        <v>197</v>
      </c>
      <c r="C34" s="12">
        <f>TRUNC($C$31 * C17 * 2^17 / $C$8)</f>
        <v>13343</v>
      </c>
      <c r="D34" t="s">
        <v>13</v>
      </c>
      <c r="E34" s="17" t="s">
        <v>150</v>
      </c>
    </row>
    <row r="35" spans="2:5" x14ac:dyDescent="0.25">
      <c r="B35" s="19" t="s">
        <v>198</v>
      </c>
      <c r="C35" s="12">
        <f>TRUNC($C$31 * C18 * 2^17 / $C$8)</f>
        <v>1</v>
      </c>
      <c r="D35" s="20" t="s">
        <v>13</v>
      </c>
      <c r="E35" s="21" t="s">
        <v>152</v>
      </c>
    </row>
    <row r="36" spans="2:5" x14ac:dyDescent="0.25">
      <c r="E36" s="1"/>
    </row>
    <row r="37" spans="2:5" x14ac:dyDescent="0.25">
      <c r="E37" s="1"/>
    </row>
    <row r="38" spans="2:5" ht="15.75" x14ac:dyDescent="0.25">
      <c r="B38" s="43" t="s">
        <v>199</v>
      </c>
      <c r="C38" s="61"/>
      <c r="D38" s="61"/>
      <c r="E38" s="29"/>
    </row>
    <row r="39" spans="2:5" x14ac:dyDescent="0.25">
      <c r="B39" s="41" t="s">
        <v>2</v>
      </c>
      <c r="C39" s="42" t="s">
        <v>3</v>
      </c>
      <c r="D39" s="42" t="s">
        <v>4</v>
      </c>
      <c r="E39" s="29" t="s">
        <v>139</v>
      </c>
    </row>
    <row r="40" spans="2:5" x14ac:dyDescent="0.25">
      <c r="B40" s="34"/>
      <c r="C40" s="31"/>
      <c r="D40" s="31"/>
      <c r="E40" s="36"/>
    </row>
    <row r="41" spans="2:5" x14ac:dyDescent="0.25">
      <c r="B41" s="13" t="s">
        <v>188</v>
      </c>
      <c r="E41" s="26"/>
    </row>
    <row r="42" spans="2:5" x14ac:dyDescent="0.25">
      <c r="B42" s="15" t="s">
        <v>172</v>
      </c>
      <c r="C42" s="35">
        <f>'Velocity scaling'!C48</f>
        <v>19.090090666666665</v>
      </c>
      <c r="D42" t="s">
        <v>104</v>
      </c>
      <c r="E42" s="26" t="s">
        <v>189</v>
      </c>
    </row>
    <row r="43" spans="2:5" x14ac:dyDescent="0.25">
      <c r="B43" s="15" t="s">
        <v>173</v>
      </c>
      <c r="C43" s="35">
        <f>'Velocity scaling'!C49</f>
        <v>305.44145066666664</v>
      </c>
      <c r="D43" t="s">
        <v>104</v>
      </c>
      <c r="E43" s="26" t="s">
        <v>189</v>
      </c>
    </row>
    <row r="44" spans="2:5" x14ac:dyDescent="0.25">
      <c r="B44" s="15" t="s">
        <v>174</v>
      </c>
      <c r="C44" s="35">
        <f>'Velocity scaling'!C50</f>
        <v>1221.7658026666666</v>
      </c>
      <c r="D44" t="s">
        <v>104</v>
      </c>
      <c r="E44" s="26" t="s">
        <v>189</v>
      </c>
    </row>
    <row r="45" spans="2:5" x14ac:dyDescent="0.25">
      <c r="B45" s="15" t="s">
        <v>175</v>
      </c>
      <c r="C45" s="35">
        <f>'Velocity scaling'!C51</f>
        <v>0.111856</v>
      </c>
      <c r="D45" t="s">
        <v>104</v>
      </c>
      <c r="E45" s="26" t="s">
        <v>189</v>
      </c>
    </row>
    <row r="46" spans="2:5" x14ac:dyDescent="0.25">
      <c r="B46" s="15"/>
      <c r="E46" s="17"/>
    </row>
    <row r="47" spans="2:5" x14ac:dyDescent="0.25">
      <c r="B47" s="13" t="s">
        <v>27</v>
      </c>
      <c r="E47" s="17"/>
    </row>
    <row r="48" spans="2:5" x14ac:dyDescent="0.25">
      <c r="B48" s="15" t="s">
        <v>108</v>
      </c>
      <c r="C48" s="7">
        <v>1000</v>
      </c>
      <c r="D48" t="s">
        <v>13</v>
      </c>
      <c r="E48" s="17"/>
    </row>
    <row r="49" spans="2:5" x14ac:dyDescent="0.25">
      <c r="B49" s="15" t="s">
        <v>176</v>
      </c>
      <c r="C49" s="18">
        <f>$C$48 / C42 / 60 / 2^17 * $C$8</f>
        <v>399.65208465833729</v>
      </c>
      <c r="D49" t="s">
        <v>121</v>
      </c>
      <c r="E49" s="17" t="s">
        <v>146</v>
      </c>
    </row>
    <row r="50" spans="2:5" x14ac:dyDescent="0.25">
      <c r="B50" s="15" t="s">
        <v>177</v>
      </c>
      <c r="C50" s="18">
        <f>$C$48 / C43 / 60 / 2^17 * $C$8</f>
        <v>24.97825529114608</v>
      </c>
      <c r="D50" t="s">
        <v>121</v>
      </c>
      <c r="E50" s="17" t="s">
        <v>148</v>
      </c>
    </row>
    <row r="51" spans="2:5" x14ac:dyDescent="0.25">
      <c r="B51" s="15" t="s">
        <v>178</v>
      </c>
      <c r="C51" s="18">
        <f>$C$48 / C44 / 60 / 2^17 * $C$8</f>
        <v>6.2445638227865201</v>
      </c>
      <c r="D51" t="s">
        <v>121</v>
      </c>
      <c r="E51" s="17" t="s">
        <v>150</v>
      </c>
    </row>
    <row r="52" spans="2:5" x14ac:dyDescent="0.25">
      <c r="B52" s="15" t="s">
        <v>179</v>
      </c>
      <c r="C52" s="18">
        <f>$C$48 / C45 / 60 / 2^17 * $C$8</f>
        <v>68207.289115022882</v>
      </c>
      <c r="D52" t="s">
        <v>121</v>
      </c>
      <c r="E52" s="17" t="s">
        <v>152</v>
      </c>
    </row>
    <row r="53" spans="2:5" x14ac:dyDescent="0.25">
      <c r="B53" s="15"/>
      <c r="E53" s="17"/>
    </row>
    <row r="54" spans="2:5" x14ac:dyDescent="0.25">
      <c r="B54" s="13" t="s">
        <v>38</v>
      </c>
      <c r="E54" s="17"/>
    </row>
    <row r="55" spans="2:5" x14ac:dyDescent="0.25">
      <c r="B55" s="15" t="s">
        <v>123</v>
      </c>
      <c r="C55" s="8">
        <v>0</v>
      </c>
      <c r="D55" t="s">
        <v>111</v>
      </c>
      <c r="E55" s="17" t="s">
        <v>124</v>
      </c>
    </row>
    <row r="56" spans="2:5" x14ac:dyDescent="0.25">
      <c r="B56" s="15" t="s">
        <v>125</v>
      </c>
      <c r="C56" s="8">
        <v>5000</v>
      </c>
      <c r="D56" t="s">
        <v>111</v>
      </c>
      <c r="E56" s="17" t="s">
        <v>126</v>
      </c>
    </row>
    <row r="57" spans="2:5" x14ac:dyDescent="0.25">
      <c r="B57" s="15" t="s">
        <v>127</v>
      </c>
      <c r="C57" s="8">
        <v>1</v>
      </c>
      <c r="D57" t="s">
        <v>128</v>
      </c>
      <c r="E57" s="17" t="s">
        <v>129</v>
      </c>
    </row>
    <row r="58" spans="2:5" x14ac:dyDescent="0.25">
      <c r="B58" s="15" t="s">
        <v>130</v>
      </c>
      <c r="C58" s="52">
        <f>ABS((C56-C55) / C57)</f>
        <v>5000</v>
      </c>
      <c r="D58" t="s">
        <v>121</v>
      </c>
      <c r="E58" s="17" t="s">
        <v>194</v>
      </c>
    </row>
    <row r="59" spans="2:5" x14ac:dyDescent="0.25">
      <c r="B59" s="15" t="s">
        <v>182</v>
      </c>
      <c r="C59" s="12">
        <f>TRUNC($C$58 * C42 * 2^17 / $C$8)</f>
        <v>208</v>
      </c>
      <c r="D59" t="s">
        <v>13</v>
      </c>
      <c r="E59" s="17" t="s">
        <v>146</v>
      </c>
    </row>
    <row r="60" spans="2:5" x14ac:dyDescent="0.25">
      <c r="B60" s="15" t="s">
        <v>183</v>
      </c>
      <c r="C60" s="12">
        <f>TRUNC($C$58 * C43 * 2^17 / $C$8)</f>
        <v>3336</v>
      </c>
      <c r="D60" t="s">
        <v>13</v>
      </c>
      <c r="E60" s="17" t="s">
        <v>148</v>
      </c>
    </row>
    <row r="61" spans="2:5" x14ac:dyDescent="0.25">
      <c r="B61" s="15" t="s">
        <v>184</v>
      </c>
      <c r="C61" s="12">
        <f>TRUNC($C$58 * C44 * 2^17 / $C$8)</f>
        <v>13344</v>
      </c>
      <c r="D61" t="s">
        <v>13</v>
      </c>
      <c r="E61" s="17" t="s">
        <v>150</v>
      </c>
    </row>
    <row r="62" spans="2:5" x14ac:dyDescent="0.25">
      <c r="B62" s="19" t="s">
        <v>185</v>
      </c>
      <c r="C62" s="12">
        <f>TRUNC($C$58 * C45 * 2^17 / $C$8)</f>
        <v>1</v>
      </c>
      <c r="D62" s="20" t="s">
        <v>13</v>
      </c>
      <c r="E62" s="21" t="s">
        <v>152</v>
      </c>
    </row>
    <row r="63" spans="2:5" x14ac:dyDescent="0.25">
      <c r="E63" s="1"/>
    </row>
    <row r="65" spans="2:2" x14ac:dyDescent="0.25">
      <c r="B65" s="1" t="s">
        <v>56</v>
      </c>
    </row>
    <row r="66" spans="2:2" x14ac:dyDescent="0.25">
      <c r="B66" s="7" t="s">
        <v>249</v>
      </c>
    </row>
    <row r="67" spans="2:2" x14ac:dyDescent="0.25">
      <c r="B67" s="8" t="s">
        <v>250</v>
      </c>
    </row>
    <row r="68" spans="2:2" x14ac:dyDescent="0.25">
      <c r="B68" s="9" t="s">
        <v>57</v>
      </c>
    </row>
    <row r="69" spans="2:2" x14ac:dyDescent="0.25">
      <c r="B69" s="10" t="s">
        <v>58</v>
      </c>
    </row>
    <row r="70" spans="2:2" x14ac:dyDescent="0.25">
      <c r="B70" s="4" t="s">
        <v>59</v>
      </c>
    </row>
    <row r="71" spans="2:2" x14ac:dyDescent="0.25">
      <c r="B71" s="54" t="s">
        <v>60</v>
      </c>
    </row>
  </sheetData>
  <sheetProtection algorithmName="SHA-512" hashValue="1QvU0/X1sUZwxaSqCtvFir3QvSCJTUZUhA7ylDRWllaxYpkjCh+H7XzKBKwRO3Ms0l4Rweoy4mldyIreH7miiQ==" saltValue="VjPAc62VRjry7rW4/iLs2w==" spinCount="100000" sheet="1" objects="1" scenarios="1"/>
  <protectedRanges>
    <protectedRange sqref="C21 C28:C30 C48 C55:C57" name="Range1"/>
  </protectedRanges>
  <mergeCells count="1">
    <mergeCell ref="B3:E3"/>
  </mergeCells>
  <phoneticPr fontId="12" type="noConversion"/>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BE550-B487-459F-8357-4B89CD96826E}">
  <dimension ref="B2:J96"/>
  <sheetViews>
    <sheetView zoomScaleNormal="100" workbookViewId="0"/>
  </sheetViews>
  <sheetFormatPr defaultRowHeight="15" x14ac:dyDescent="0.25"/>
  <cols>
    <col min="1" max="1" width="3" customWidth="1"/>
    <col min="2" max="2" width="46.28515625" customWidth="1"/>
    <col min="3" max="3" width="15.28515625" customWidth="1"/>
    <col min="5" max="5" width="122.28515625" bestFit="1" customWidth="1"/>
  </cols>
  <sheetData>
    <row r="2" spans="2:5" ht="15.75" x14ac:dyDescent="0.25">
      <c r="B2" s="48" t="s">
        <v>0</v>
      </c>
      <c r="C2" s="50"/>
      <c r="D2" s="50"/>
      <c r="E2" s="30"/>
    </row>
    <row r="3" spans="2:5" ht="165" customHeight="1" x14ac:dyDescent="0.25">
      <c r="B3" s="67" t="s">
        <v>239</v>
      </c>
      <c r="C3" s="68"/>
      <c r="D3" s="68"/>
      <c r="E3" s="69"/>
    </row>
    <row r="4" spans="2:5" x14ac:dyDescent="0.25">
      <c r="B4" s="49"/>
    </row>
    <row r="6" spans="2:5" ht="15.75" x14ac:dyDescent="0.25">
      <c r="B6" s="43" t="s">
        <v>84</v>
      </c>
      <c r="C6" s="61"/>
      <c r="D6" s="61"/>
      <c r="E6" s="22"/>
    </row>
    <row r="7" spans="2:5" x14ac:dyDescent="0.25">
      <c r="B7" s="41" t="s">
        <v>2</v>
      </c>
      <c r="C7" s="42" t="s">
        <v>3</v>
      </c>
      <c r="D7" s="42" t="s">
        <v>4</v>
      </c>
      <c r="E7" s="29" t="s">
        <v>5</v>
      </c>
    </row>
    <row r="8" spans="2:5" x14ac:dyDescent="0.25">
      <c r="B8" s="34" t="s">
        <v>85</v>
      </c>
      <c r="C8" s="55">
        <v>60000000</v>
      </c>
      <c r="D8" s="31" t="s">
        <v>86</v>
      </c>
      <c r="E8" s="30" t="s">
        <v>87</v>
      </c>
    </row>
    <row r="9" spans="2:5" x14ac:dyDescent="0.25">
      <c r="B9" s="15" t="s">
        <v>159</v>
      </c>
      <c r="C9" s="56">
        <v>120000000</v>
      </c>
      <c r="D9" t="s">
        <v>86</v>
      </c>
      <c r="E9" s="17" t="s">
        <v>160</v>
      </c>
    </row>
    <row r="10" spans="2:5" x14ac:dyDescent="0.25">
      <c r="B10" s="15" t="s">
        <v>88</v>
      </c>
      <c r="C10" s="27">
        <v>4</v>
      </c>
      <c r="D10" t="s">
        <v>62</v>
      </c>
      <c r="E10" s="17" t="s">
        <v>89</v>
      </c>
    </row>
    <row r="11" spans="2:5" x14ac:dyDescent="0.25">
      <c r="B11" s="15" t="s">
        <v>134</v>
      </c>
      <c r="C11" s="27">
        <v>4096</v>
      </c>
      <c r="D11" t="s">
        <v>62</v>
      </c>
      <c r="E11" s="17" t="s">
        <v>135</v>
      </c>
    </row>
    <row r="12" spans="2:5" x14ac:dyDescent="0.25">
      <c r="B12" s="15" t="s">
        <v>200</v>
      </c>
      <c r="C12" s="24">
        <v>1</v>
      </c>
      <c r="D12" t="s">
        <v>13</v>
      </c>
      <c r="E12" s="47" t="s">
        <v>229</v>
      </c>
    </row>
    <row r="13" spans="2:5" x14ac:dyDescent="0.25">
      <c r="B13" s="15" t="s">
        <v>136</v>
      </c>
      <c r="C13" s="24">
        <v>256</v>
      </c>
      <c r="D13" t="s">
        <v>13</v>
      </c>
      <c r="E13" s="47" t="s">
        <v>137</v>
      </c>
    </row>
    <row r="14" spans="2:5" x14ac:dyDescent="0.25">
      <c r="B14" s="15" t="s">
        <v>161</v>
      </c>
      <c r="C14" s="24">
        <v>4800</v>
      </c>
      <c r="D14" t="s">
        <v>13</v>
      </c>
      <c r="E14" s="17" t="s">
        <v>162</v>
      </c>
    </row>
    <row r="15" spans="2:5" ht="30" x14ac:dyDescent="0.25">
      <c r="B15" s="15" t="s">
        <v>163</v>
      </c>
      <c r="C15" s="24">
        <v>0</v>
      </c>
      <c r="D15" t="s">
        <v>13</v>
      </c>
      <c r="E15" s="16" t="s">
        <v>164</v>
      </c>
    </row>
    <row r="16" spans="2:5" ht="30" x14ac:dyDescent="0.25">
      <c r="B16" s="15" t="s">
        <v>165</v>
      </c>
      <c r="C16" s="12">
        <f>ROUND(2^24/C8*C18,0)</f>
        <v>6991</v>
      </c>
      <c r="D16" t="s">
        <v>13</v>
      </c>
      <c r="E16" s="16" t="s">
        <v>215</v>
      </c>
    </row>
    <row r="17" spans="2:10" x14ac:dyDescent="0.25">
      <c r="B17" s="15" t="s">
        <v>167</v>
      </c>
      <c r="C17" s="11">
        <f>C9/C14</f>
        <v>25000</v>
      </c>
      <c r="D17" t="s">
        <v>86</v>
      </c>
      <c r="E17" s="17" t="s">
        <v>168</v>
      </c>
    </row>
    <row r="18" spans="2:10" x14ac:dyDescent="0.25">
      <c r="B18" s="19" t="s">
        <v>169</v>
      </c>
      <c r="C18" s="11">
        <f>C17/(C15+1)</f>
        <v>25000</v>
      </c>
      <c r="D18" s="20" t="s">
        <v>86</v>
      </c>
      <c r="E18" s="21" t="s">
        <v>170</v>
      </c>
    </row>
    <row r="21" spans="2:10" ht="15.75" x14ac:dyDescent="0.25">
      <c r="B21" s="43" t="s">
        <v>232</v>
      </c>
      <c r="C21" s="61"/>
      <c r="D21" s="61"/>
      <c r="E21" s="22"/>
    </row>
    <row r="22" spans="2:10" x14ac:dyDescent="0.25">
      <c r="B22" s="41" t="s">
        <v>2</v>
      </c>
      <c r="C22" s="42" t="s">
        <v>3</v>
      </c>
      <c r="D22" s="42" t="s">
        <v>4</v>
      </c>
      <c r="E22" s="29" t="s">
        <v>5</v>
      </c>
    </row>
    <row r="23" spans="2:10" x14ac:dyDescent="0.25">
      <c r="B23" s="34" t="s">
        <v>217</v>
      </c>
      <c r="C23" s="64" t="s">
        <v>211</v>
      </c>
      <c r="D23" s="31" t="s">
        <v>62</v>
      </c>
      <c r="E23" s="30" t="s">
        <v>218</v>
      </c>
      <c r="H23" s="3" t="s">
        <v>216</v>
      </c>
    </row>
    <row r="24" spans="2:10" x14ac:dyDescent="0.25">
      <c r="B24" s="15" t="s">
        <v>242</v>
      </c>
      <c r="C24" s="4" cm="1">
        <f t="array" ref="C24">_xlfn.SWITCH(C23, "ABN",C11*C13/256, "SinCos",65536, "Analog Hall",65536*C10, "Hall",6*C13/256*C10)</f>
        <v>4096</v>
      </c>
      <c r="D24" t="s">
        <v>62</v>
      </c>
      <c r="E24" s="17" t="s">
        <v>243</v>
      </c>
      <c r="H24" s="3" t="s">
        <v>211</v>
      </c>
    </row>
    <row r="25" spans="2:10" x14ac:dyDescent="0.25">
      <c r="B25" s="15"/>
      <c r="E25" s="17"/>
      <c r="H25" s="3" t="s">
        <v>212</v>
      </c>
    </row>
    <row r="26" spans="2:10" x14ac:dyDescent="0.25">
      <c r="B26" s="15"/>
      <c r="E26" s="17"/>
      <c r="H26" s="3" t="s">
        <v>213</v>
      </c>
    </row>
    <row r="27" spans="2:10" x14ac:dyDescent="0.25">
      <c r="B27" s="15" t="s">
        <v>204</v>
      </c>
      <c r="C27" s="65">
        <f>C18/C24</f>
        <v>6.103515625</v>
      </c>
      <c r="D27" t="s">
        <v>230</v>
      </c>
      <c r="E27" s="17" t="s">
        <v>201</v>
      </c>
      <c r="H27" s="3" t="s">
        <v>214</v>
      </c>
    </row>
    <row r="28" spans="2:10" x14ac:dyDescent="0.25">
      <c r="B28" s="15"/>
      <c r="C28" s="65">
        <f>C27*60</f>
        <v>366.2109375</v>
      </c>
      <c r="D28" t="s">
        <v>111</v>
      </c>
      <c r="E28" s="17"/>
    </row>
    <row r="29" spans="2:10" x14ac:dyDescent="0.25">
      <c r="B29" s="15"/>
      <c r="E29" s="17"/>
    </row>
    <row r="30" spans="2:10" x14ac:dyDescent="0.25">
      <c r="B30" s="15" t="s">
        <v>202</v>
      </c>
      <c r="E30" s="17"/>
      <c r="H30" s="3" t="s">
        <v>238</v>
      </c>
      <c r="I30" s="3" t="s">
        <v>205</v>
      </c>
      <c r="J30" s="3" t="s">
        <v>206</v>
      </c>
    </row>
    <row r="31" spans="2:10" x14ac:dyDescent="0.25">
      <c r="B31" s="15"/>
      <c r="E31" s="17"/>
      <c r="H31" s="3">
        <v>0</v>
      </c>
      <c r="I31" s="3">
        <f>H31^2/($C$8*($C$12+1)/$C$24+H31)</f>
        <v>0</v>
      </c>
      <c r="J31" s="3">
        <f>$C$27</f>
        <v>6.103515625</v>
      </c>
    </row>
    <row r="32" spans="2:10" x14ac:dyDescent="0.25">
      <c r="B32" s="15"/>
      <c r="E32" s="17"/>
      <c r="H32" s="3">
        <v>10</v>
      </c>
      <c r="I32" s="3">
        <f t="shared" ref="I32:I95" si="0">H32^2/($C$8*($C$12+1)/$C$24+H32)</f>
        <v>3.4121686464353503E-3</v>
      </c>
      <c r="J32" s="3">
        <f t="shared" ref="J32:J95" si="1">$C$27</f>
        <v>6.103515625</v>
      </c>
    </row>
    <row r="33" spans="2:10" x14ac:dyDescent="0.25">
      <c r="B33" s="15"/>
      <c r="E33" s="17"/>
      <c r="H33" s="3">
        <v>20</v>
      </c>
      <c r="I33" s="3">
        <f t="shared" si="0"/>
        <v>1.3644019016351504E-2</v>
      </c>
      <c r="J33" s="3">
        <f t="shared" si="1"/>
        <v>6.103515625</v>
      </c>
    </row>
    <row r="34" spans="2:10" x14ac:dyDescent="0.25">
      <c r="B34" s="15"/>
      <c r="E34" s="17"/>
      <c r="H34" s="3">
        <v>30</v>
      </c>
      <c r="I34" s="3">
        <f t="shared" si="0"/>
        <v>3.0688574899303114E-2</v>
      </c>
      <c r="J34" s="3">
        <f t="shared" si="1"/>
        <v>6.103515625</v>
      </c>
    </row>
    <row r="35" spans="2:10" x14ac:dyDescent="0.25">
      <c r="B35" s="15"/>
      <c r="E35" s="17"/>
      <c r="H35" s="3">
        <v>40</v>
      </c>
      <c r="I35" s="3">
        <f t="shared" si="0"/>
        <v>5.4538869596710622E-2</v>
      </c>
      <c r="J35" s="3">
        <f t="shared" si="1"/>
        <v>6.103515625</v>
      </c>
    </row>
    <row r="36" spans="2:10" x14ac:dyDescent="0.25">
      <c r="B36" s="15"/>
      <c r="E36" s="17"/>
      <c r="H36" s="3">
        <v>50</v>
      </c>
      <c r="I36" s="3">
        <f t="shared" si="0"/>
        <v>8.5187945905654344E-2</v>
      </c>
      <c r="J36" s="3">
        <f t="shared" si="1"/>
        <v>6.103515625</v>
      </c>
    </row>
    <row r="37" spans="2:10" x14ac:dyDescent="0.25">
      <c r="B37" s="15"/>
      <c r="E37" s="17"/>
      <c r="H37" s="3">
        <v>60</v>
      </c>
      <c r="I37" s="3">
        <f t="shared" si="0"/>
        <v>0.12262885610270166</v>
      </c>
      <c r="J37" s="3">
        <f t="shared" si="1"/>
        <v>6.103515625</v>
      </c>
    </row>
    <row r="38" spans="2:10" x14ac:dyDescent="0.25">
      <c r="B38" s="15"/>
      <c r="E38" s="17"/>
      <c r="H38" s="3">
        <v>70</v>
      </c>
      <c r="I38" s="3">
        <f t="shared" si="0"/>
        <v>0.16685466192776727</v>
      </c>
      <c r="J38" s="3">
        <f t="shared" si="1"/>
        <v>6.103515625</v>
      </c>
    </row>
    <row r="39" spans="2:10" x14ac:dyDescent="0.25">
      <c r="B39" s="15"/>
      <c r="E39" s="17"/>
      <c r="H39" s="3">
        <v>80</v>
      </c>
      <c r="I39" s="3">
        <f t="shared" si="0"/>
        <v>0.2178584345680063</v>
      </c>
      <c r="J39" s="3">
        <f t="shared" si="1"/>
        <v>6.103515625</v>
      </c>
    </row>
    <row r="40" spans="2:10" x14ac:dyDescent="0.25">
      <c r="B40" s="15"/>
      <c r="E40" s="17"/>
      <c r="H40" s="3">
        <v>90</v>
      </c>
      <c r="I40" s="3">
        <f t="shared" si="0"/>
        <v>0.2756332546417406</v>
      </c>
      <c r="J40" s="3">
        <f t="shared" si="1"/>
        <v>6.103515625</v>
      </c>
    </row>
    <row r="41" spans="2:10" x14ac:dyDescent="0.25">
      <c r="B41" s="15"/>
      <c r="E41" s="17"/>
      <c r="H41" s="3">
        <v>100</v>
      </c>
      <c r="I41" s="3">
        <f t="shared" si="0"/>
        <v>0.34017221218241733</v>
      </c>
      <c r="J41" s="3">
        <f t="shared" si="1"/>
        <v>6.103515625</v>
      </c>
    </row>
    <row r="42" spans="2:10" x14ac:dyDescent="0.25">
      <c r="B42" s="15"/>
      <c r="E42" s="17"/>
      <c r="H42" s="3">
        <v>110</v>
      </c>
      <c r="I42" s="3">
        <f t="shared" si="0"/>
        <v>0.41146840662260104</v>
      </c>
      <c r="J42" s="3">
        <f t="shared" si="1"/>
        <v>6.103515625</v>
      </c>
    </row>
    <row r="43" spans="2:10" x14ac:dyDescent="0.25">
      <c r="B43" s="15"/>
      <c r="E43" s="17"/>
      <c r="H43" s="3">
        <v>120</v>
      </c>
      <c r="I43" s="3">
        <f t="shared" si="0"/>
        <v>0.48951494677799734</v>
      </c>
      <c r="J43" s="3">
        <f t="shared" si="1"/>
        <v>6.103515625</v>
      </c>
    </row>
    <row r="44" spans="2:10" x14ac:dyDescent="0.25">
      <c r="B44" s="15"/>
      <c r="E44" s="17"/>
      <c r="H44" s="3">
        <v>130</v>
      </c>
      <c r="I44" s="3">
        <f t="shared" si="0"/>
        <v>0.57430495083151034</v>
      </c>
      <c r="J44" s="3">
        <f t="shared" si="1"/>
        <v>6.103515625</v>
      </c>
    </row>
    <row r="45" spans="2:10" x14ac:dyDescent="0.25">
      <c r="B45" s="15"/>
      <c r="E45" s="17"/>
      <c r="H45" s="3">
        <v>140</v>
      </c>
      <c r="I45" s="3">
        <f t="shared" si="0"/>
        <v>0.66583154631733155</v>
      </c>
      <c r="J45" s="3">
        <f t="shared" si="1"/>
        <v>6.103515625</v>
      </c>
    </row>
    <row r="46" spans="2:10" x14ac:dyDescent="0.25">
      <c r="B46" s="66" t="s">
        <v>203</v>
      </c>
      <c r="C46" s="52">
        <f>(C18+SQRT(C18^2+C18*C8*C12*4))/(2*C24)</f>
        <v>302.07730921042332</v>
      </c>
      <c r="D46" t="s">
        <v>230</v>
      </c>
      <c r="E46" s="17" t="s">
        <v>207</v>
      </c>
      <c r="H46" s="3">
        <v>150</v>
      </c>
      <c r="I46" s="3">
        <f t="shared" si="0"/>
        <v>0.76408787010506207</v>
      </c>
      <c r="J46" s="3">
        <f t="shared" si="1"/>
        <v>6.103515625</v>
      </c>
    </row>
    <row r="47" spans="2:10" x14ac:dyDescent="0.25">
      <c r="B47" s="15"/>
      <c r="C47" s="52">
        <f>C46*60</f>
        <v>18124.638552625398</v>
      </c>
      <c r="D47" t="s">
        <v>111</v>
      </c>
      <c r="E47" s="17" t="s">
        <v>231</v>
      </c>
      <c r="H47" s="3">
        <v>160</v>
      </c>
      <c r="I47" s="3">
        <f t="shared" si="0"/>
        <v>0.86906706838386627</v>
      </c>
      <c r="J47" s="3">
        <f t="shared" si="1"/>
        <v>6.103515625</v>
      </c>
    </row>
    <row r="48" spans="2:10" x14ac:dyDescent="0.25">
      <c r="B48" s="15"/>
      <c r="C48" s="10">
        <f>C46*$C$24*$C$13/256*2^24/$C$8</f>
        <v>345976.57704598608</v>
      </c>
      <c r="D48" t="s">
        <v>13</v>
      </c>
      <c r="E48" s="17" t="s">
        <v>219</v>
      </c>
      <c r="H48" s="3">
        <v>170</v>
      </c>
      <c r="I48" s="3">
        <f t="shared" si="0"/>
        <v>0.98076229664665837</v>
      </c>
      <c r="J48" s="3">
        <f t="shared" si="1"/>
        <v>6.103515625</v>
      </c>
    </row>
    <row r="49" spans="2:10" x14ac:dyDescent="0.25">
      <c r="B49" s="15"/>
      <c r="C49" s="10">
        <f>C46*$C$24*$C$13/256*$C$16/$C$18</f>
        <v>346000.99327018094</v>
      </c>
      <c r="D49" t="s">
        <v>13</v>
      </c>
      <c r="E49" s="17" t="s">
        <v>233</v>
      </c>
      <c r="H49" s="3">
        <v>180</v>
      </c>
      <c r="I49" s="3">
        <f t="shared" si="0"/>
        <v>1.0991667196743209</v>
      </c>
      <c r="J49" s="3">
        <f t="shared" si="1"/>
        <v>6.103515625</v>
      </c>
    </row>
    <row r="50" spans="2:10" x14ac:dyDescent="0.25">
      <c r="B50" s="15"/>
      <c r="E50" s="17"/>
      <c r="H50" s="3">
        <v>190</v>
      </c>
      <c r="I50" s="3">
        <f t="shared" si="0"/>
        <v>1.2242735115199559</v>
      </c>
      <c r="J50" s="3">
        <f t="shared" si="1"/>
        <v>6.103515625</v>
      </c>
    </row>
    <row r="51" spans="2:10" x14ac:dyDescent="0.25">
      <c r="B51" s="13" t="s">
        <v>208</v>
      </c>
      <c r="C51" s="52">
        <f>C8/53/C24*C12</f>
        <v>276.38561320754718</v>
      </c>
      <c r="D51" t="s">
        <v>230</v>
      </c>
      <c r="E51" s="17" t="s">
        <v>209</v>
      </c>
      <c r="H51" s="3">
        <v>200</v>
      </c>
      <c r="I51" s="3">
        <f t="shared" si="0"/>
        <v>1.3560758554931667</v>
      </c>
      <c r="J51" s="3">
        <f t="shared" si="1"/>
        <v>6.103515625</v>
      </c>
    </row>
    <row r="52" spans="2:10" x14ac:dyDescent="0.25">
      <c r="B52" s="15"/>
      <c r="C52" s="52">
        <f>C51*60</f>
        <v>16583.136792452831</v>
      </c>
      <c r="D52" t="s">
        <v>111</v>
      </c>
      <c r="E52" s="17" t="s">
        <v>231</v>
      </c>
      <c r="H52" s="3">
        <v>210</v>
      </c>
      <c r="I52" s="3">
        <f t="shared" si="0"/>
        <v>1.4945669441443732</v>
      </c>
      <c r="J52" s="3">
        <f t="shared" si="1"/>
        <v>6.103515625</v>
      </c>
    </row>
    <row r="53" spans="2:10" x14ac:dyDescent="0.25">
      <c r="B53" s="15"/>
      <c r="C53" s="10">
        <f>C51*$C$24*$C$13/256*2^24/$C$8</f>
        <v>316551.24528301886</v>
      </c>
      <c r="D53" t="s">
        <v>13</v>
      </c>
      <c r="E53" s="17" t="s">
        <v>219</v>
      </c>
      <c r="H53" s="3">
        <v>220</v>
      </c>
      <c r="I53" s="3">
        <f t="shared" si="0"/>
        <v>1.6397399792491583</v>
      </c>
      <c r="J53" s="3">
        <f t="shared" si="1"/>
        <v>6.103515625</v>
      </c>
    </row>
    <row r="54" spans="2:10" x14ac:dyDescent="0.25">
      <c r="B54" s="15"/>
      <c r="C54" s="10">
        <f>C51*$C$24*$C$13/256*$C$16/$C$18</f>
        <v>316573.58490566042</v>
      </c>
      <c r="D54" t="s">
        <v>13</v>
      </c>
      <c r="E54" s="17" t="s">
        <v>233</v>
      </c>
      <c r="H54" s="3">
        <v>230</v>
      </c>
      <c r="I54" s="3">
        <f t="shared" si="0"/>
        <v>1.7915881717926465</v>
      </c>
      <c r="J54" s="3">
        <f t="shared" si="1"/>
        <v>6.103515625</v>
      </c>
    </row>
    <row r="55" spans="2:10" x14ac:dyDescent="0.25">
      <c r="B55" s="15"/>
      <c r="E55" s="17"/>
      <c r="H55" s="3">
        <v>240</v>
      </c>
      <c r="I55" s="3">
        <f t="shared" si="0"/>
        <v>1.9501047419539135</v>
      </c>
      <c r="J55" s="3">
        <f t="shared" si="1"/>
        <v>6.103515625</v>
      </c>
    </row>
    <row r="56" spans="2:10" x14ac:dyDescent="0.25">
      <c r="B56" s="13" t="s">
        <v>210</v>
      </c>
      <c r="C56" s="52">
        <f>C8/105/C24*C12</f>
        <v>139.50892857142858</v>
      </c>
      <c r="D56" t="s">
        <v>230</v>
      </c>
      <c r="E56" s="17" t="s">
        <v>244</v>
      </c>
      <c r="H56" s="3">
        <v>250</v>
      </c>
      <c r="I56" s="3">
        <f t="shared" si="0"/>
        <v>2.1152829190904283</v>
      </c>
      <c r="J56" s="3">
        <f t="shared" si="1"/>
        <v>6.103515625</v>
      </c>
    </row>
    <row r="57" spans="2:10" x14ac:dyDescent="0.25">
      <c r="B57" s="15"/>
      <c r="C57" s="52">
        <f>C56*60</f>
        <v>8370.5357142857156</v>
      </c>
      <c r="D57" t="s">
        <v>111</v>
      </c>
      <c r="E57" s="17" t="s">
        <v>231</v>
      </c>
      <c r="H57" s="3">
        <v>260</v>
      </c>
      <c r="I57" s="3">
        <f t="shared" si="0"/>
        <v>2.2871159417225266</v>
      </c>
      <c r="J57" s="3">
        <f t="shared" si="1"/>
        <v>6.103515625</v>
      </c>
    </row>
    <row r="58" spans="2:10" x14ac:dyDescent="0.25">
      <c r="B58" s="15"/>
      <c r="C58" s="10">
        <f>C56*$C$24*$C$13/256*2^24/$C$8</f>
        <v>159783.00952380954</v>
      </c>
      <c r="D58" t="s">
        <v>13</v>
      </c>
      <c r="E58" s="17" t="s">
        <v>219</v>
      </c>
      <c r="H58" s="3">
        <v>270</v>
      </c>
      <c r="I58" s="3">
        <f t="shared" si="0"/>
        <v>2.4655970575179147</v>
      </c>
      <c r="J58" s="3">
        <f t="shared" si="1"/>
        <v>6.103515625</v>
      </c>
    </row>
    <row r="59" spans="2:10" x14ac:dyDescent="0.25">
      <c r="B59" s="19"/>
      <c r="C59" s="10">
        <f>C56*$C$24*$C$13/256*$C$16/$C$18</f>
        <v>159794.28571428574</v>
      </c>
      <c r="D59" s="20" t="s">
        <v>13</v>
      </c>
      <c r="E59" s="21" t="s">
        <v>233</v>
      </c>
      <c r="H59" s="3">
        <v>280</v>
      </c>
      <c r="I59" s="3">
        <f t="shared" si="0"/>
        <v>2.6507195232762082</v>
      </c>
      <c r="J59" s="3">
        <f t="shared" si="1"/>
        <v>6.103515625</v>
      </c>
    </row>
    <row r="60" spans="2:10" x14ac:dyDescent="0.25">
      <c r="H60" s="3">
        <v>290</v>
      </c>
      <c r="I60" s="3">
        <f t="shared" si="0"/>
        <v>2.8424766049134962</v>
      </c>
      <c r="J60" s="3">
        <f t="shared" si="1"/>
        <v>6.103515625</v>
      </c>
    </row>
    <row r="61" spans="2:10" x14ac:dyDescent="0.25">
      <c r="H61" s="3">
        <v>300</v>
      </c>
      <c r="I61" s="3">
        <f t="shared" si="0"/>
        <v>3.0408615774469432</v>
      </c>
      <c r="J61" s="3">
        <f t="shared" si="1"/>
        <v>6.103515625</v>
      </c>
    </row>
    <row r="62" spans="2:10" x14ac:dyDescent="0.25">
      <c r="B62" s="1" t="s">
        <v>56</v>
      </c>
      <c r="H62" s="3">
        <v>310</v>
      </c>
      <c r="I62" s="3">
        <f t="shared" si="0"/>
        <v>3.2458677249794179</v>
      </c>
      <c r="J62" s="3">
        <f t="shared" si="1"/>
        <v>6.103515625</v>
      </c>
    </row>
    <row r="63" spans="2:10" x14ac:dyDescent="0.25">
      <c r="B63" s="5" t="s">
        <v>83</v>
      </c>
      <c r="H63" s="3">
        <v>320</v>
      </c>
      <c r="I63" s="3">
        <f t="shared" si="0"/>
        <v>3.4574883406841539</v>
      </c>
      <c r="J63" s="3">
        <f t="shared" si="1"/>
        <v>6.103515625</v>
      </c>
    </row>
    <row r="64" spans="2:10" x14ac:dyDescent="0.25">
      <c r="B64" s="7" t="s">
        <v>249</v>
      </c>
      <c r="H64" s="3">
        <v>330</v>
      </c>
      <c r="I64" s="3">
        <f t="shared" si="0"/>
        <v>3.6757167267894437</v>
      </c>
      <c r="J64" s="3">
        <f t="shared" si="1"/>
        <v>6.103515625</v>
      </c>
    </row>
    <row r="65" spans="2:10" x14ac:dyDescent="0.25">
      <c r="B65" s="8" t="s">
        <v>250</v>
      </c>
      <c r="H65" s="3">
        <v>340</v>
      </c>
      <c r="I65" s="3">
        <f t="shared" si="0"/>
        <v>3.9005461945633608</v>
      </c>
      <c r="J65" s="3">
        <f t="shared" si="1"/>
        <v>6.103515625</v>
      </c>
    </row>
    <row r="66" spans="2:10" x14ac:dyDescent="0.25">
      <c r="B66" s="9" t="s">
        <v>57</v>
      </c>
      <c r="H66" s="3">
        <v>350</v>
      </c>
      <c r="I66" s="3">
        <f t="shared" si="0"/>
        <v>4.131970064298514</v>
      </c>
      <c r="J66" s="3">
        <f t="shared" si="1"/>
        <v>6.103515625</v>
      </c>
    </row>
    <row r="67" spans="2:10" x14ac:dyDescent="0.25">
      <c r="B67" s="10" t="s">
        <v>58</v>
      </c>
      <c r="H67" s="3">
        <v>360</v>
      </c>
      <c r="I67" s="3">
        <f t="shared" si="0"/>
        <v>4.3699816652968329</v>
      </c>
      <c r="J67" s="3">
        <f t="shared" si="1"/>
        <v>6.103515625</v>
      </c>
    </row>
    <row r="68" spans="2:10" x14ac:dyDescent="0.25">
      <c r="B68" s="4" t="s">
        <v>59</v>
      </c>
      <c r="H68" s="3">
        <v>370</v>
      </c>
      <c r="I68" s="3">
        <f t="shared" si="0"/>
        <v>4.6145743358543827</v>
      </c>
      <c r="J68" s="3">
        <f t="shared" si="1"/>
        <v>6.103515625</v>
      </c>
    </row>
    <row r="69" spans="2:10" x14ac:dyDescent="0.25">
      <c r="B69" s="54" t="s">
        <v>60</v>
      </c>
      <c r="H69" s="3">
        <v>380</v>
      </c>
      <c r="I69" s="3">
        <f t="shared" si="0"/>
        <v>4.8657414232462148</v>
      </c>
      <c r="J69" s="3">
        <f t="shared" si="1"/>
        <v>6.103515625</v>
      </c>
    </row>
    <row r="70" spans="2:10" x14ac:dyDescent="0.25">
      <c r="H70" s="3">
        <v>390</v>
      </c>
      <c r="I70" s="3">
        <f t="shared" si="0"/>
        <v>5.123476283711236</v>
      </c>
      <c r="J70" s="3">
        <f t="shared" si="1"/>
        <v>6.103515625</v>
      </c>
    </row>
    <row r="71" spans="2:10" x14ac:dyDescent="0.25">
      <c r="H71" s="3">
        <v>400</v>
      </c>
      <c r="I71" s="3">
        <f t="shared" si="0"/>
        <v>5.3877722824371252</v>
      </c>
      <c r="J71" s="3">
        <f t="shared" si="1"/>
        <v>6.103515625</v>
      </c>
    </row>
    <row r="72" spans="2:10" x14ac:dyDescent="0.25">
      <c r="H72" s="3">
        <v>410</v>
      </c>
      <c r="I72" s="3">
        <f t="shared" si="0"/>
        <v>5.6586227935452653</v>
      </c>
      <c r="J72" s="3">
        <f t="shared" si="1"/>
        <v>6.103515625</v>
      </c>
    </row>
    <row r="73" spans="2:10" x14ac:dyDescent="0.25">
      <c r="H73" s="3">
        <v>420</v>
      </c>
      <c r="I73" s="3">
        <f t="shared" si="0"/>
        <v>5.9360212000757144</v>
      </c>
      <c r="J73" s="3">
        <f t="shared" si="1"/>
        <v>6.103515625</v>
      </c>
    </row>
    <row r="74" spans="2:10" x14ac:dyDescent="0.25">
      <c r="H74" s="3">
        <v>430</v>
      </c>
      <c r="I74" s="3">
        <f t="shared" si="0"/>
        <v>6.2199608939722051</v>
      </c>
      <c r="J74" s="3">
        <f t="shared" si="1"/>
        <v>6.103515625</v>
      </c>
    </row>
    <row r="75" spans="2:10" x14ac:dyDescent="0.25">
      <c r="H75" s="3">
        <v>440</v>
      </c>
      <c r="I75" s="3">
        <f t="shared" si="0"/>
        <v>6.5104352760671729</v>
      </c>
      <c r="J75" s="3">
        <f t="shared" si="1"/>
        <v>6.103515625</v>
      </c>
    </row>
    <row r="76" spans="2:10" x14ac:dyDescent="0.25">
      <c r="H76" s="3">
        <v>450</v>
      </c>
      <c r="I76" s="3">
        <f t="shared" si="0"/>
        <v>6.8074377560668138</v>
      </c>
      <c r="J76" s="3">
        <f t="shared" si="1"/>
        <v>6.103515625</v>
      </c>
    </row>
    <row r="77" spans="2:10" x14ac:dyDescent="0.25">
      <c r="H77" s="3">
        <v>460</v>
      </c>
      <c r="I77" s="3">
        <f t="shared" si="0"/>
        <v>7.1109617525361788</v>
      </c>
      <c r="J77" s="3">
        <f t="shared" si="1"/>
        <v>6.103515625</v>
      </c>
    </row>
    <row r="78" spans="2:10" x14ac:dyDescent="0.25">
      <c r="H78" s="3">
        <v>470</v>
      </c>
      <c r="I78" s="3">
        <f t="shared" si="0"/>
        <v>7.421000692884288</v>
      </c>
      <c r="J78" s="3">
        <f t="shared" si="1"/>
        <v>6.103515625</v>
      </c>
    </row>
    <row r="79" spans="2:10" x14ac:dyDescent="0.25">
      <c r="H79" s="3">
        <v>480</v>
      </c>
      <c r="I79" s="3">
        <f t="shared" si="0"/>
        <v>7.7375480133492855</v>
      </c>
      <c r="J79" s="3">
        <f t="shared" si="1"/>
        <v>6.103515625</v>
      </c>
    </row>
    <row r="80" spans="2:10" x14ac:dyDescent="0.25">
      <c r="H80" s="3">
        <v>490</v>
      </c>
      <c r="I80" s="3">
        <f t="shared" si="0"/>
        <v>8.0605971589836134</v>
      </c>
      <c r="J80" s="3">
        <f t="shared" si="1"/>
        <v>6.103515625</v>
      </c>
    </row>
    <row r="81" spans="8:10" x14ac:dyDescent="0.25">
      <c r="H81" s="3">
        <v>500</v>
      </c>
      <c r="I81" s="3">
        <f t="shared" si="0"/>
        <v>8.3901415836392239</v>
      </c>
      <c r="J81" s="3">
        <f t="shared" si="1"/>
        <v>6.103515625</v>
      </c>
    </row>
    <row r="82" spans="8:10" x14ac:dyDescent="0.25">
      <c r="H82" s="3">
        <v>510</v>
      </c>
      <c r="I82" s="3">
        <f t="shared" si="0"/>
        <v>8.7261747499528219</v>
      </c>
      <c r="J82" s="3">
        <f t="shared" si="1"/>
        <v>6.103515625</v>
      </c>
    </row>
    <row r="83" spans="8:10" x14ac:dyDescent="0.25">
      <c r="H83" s="3">
        <v>520</v>
      </c>
      <c r="I83" s="3">
        <f t="shared" si="0"/>
        <v>9.0686901293311255</v>
      </c>
      <c r="J83" s="3">
        <f t="shared" si="1"/>
        <v>6.103515625</v>
      </c>
    </row>
    <row r="84" spans="8:10" x14ac:dyDescent="0.25">
      <c r="H84" s="3">
        <v>530</v>
      </c>
      <c r="I84" s="3">
        <f t="shared" si="0"/>
        <v>9.4176812019361726</v>
      </c>
      <c r="J84" s="3">
        <f t="shared" si="1"/>
        <v>6.103515625</v>
      </c>
    </row>
    <row r="85" spans="8:10" x14ac:dyDescent="0.25">
      <c r="H85" s="3">
        <v>540</v>
      </c>
      <c r="I85" s="3">
        <f t="shared" si="0"/>
        <v>9.7731414566706469</v>
      </c>
      <c r="J85" s="3">
        <f t="shared" si="1"/>
        <v>6.103515625</v>
      </c>
    </row>
    <row r="86" spans="8:10" x14ac:dyDescent="0.25">
      <c r="H86" s="3">
        <v>550</v>
      </c>
      <c r="I86" s="3">
        <f t="shared" si="0"/>
        <v>10.13506439116323</v>
      </c>
      <c r="J86" s="3">
        <f t="shared" si="1"/>
        <v>6.103515625</v>
      </c>
    </row>
    <row r="87" spans="8:10" x14ac:dyDescent="0.25">
      <c r="H87" s="3">
        <v>560</v>
      </c>
      <c r="I87" s="3">
        <f t="shared" si="0"/>
        <v>10.503443511753993</v>
      </c>
      <c r="J87" s="3">
        <f t="shared" si="1"/>
        <v>6.103515625</v>
      </c>
    </row>
    <row r="88" spans="8:10" x14ac:dyDescent="0.25">
      <c r="H88" s="3">
        <v>570</v>
      </c>
      <c r="I88" s="3">
        <f t="shared" si="0"/>
        <v>10.878272333479817</v>
      </c>
      <c r="J88" s="3">
        <f t="shared" si="1"/>
        <v>6.103515625</v>
      </c>
    </row>
    <row r="89" spans="8:10" x14ac:dyDescent="0.25">
      <c r="H89" s="3">
        <v>580</v>
      </c>
      <c r="I89" s="3">
        <f t="shared" si="0"/>
        <v>11.259544380059829</v>
      </c>
      <c r="J89" s="3">
        <f t="shared" si="1"/>
        <v>6.103515625</v>
      </c>
    </row>
    <row r="90" spans="8:10" x14ac:dyDescent="0.25">
      <c r="H90" s="3">
        <v>590</v>
      </c>
      <c r="I90" s="3">
        <f t="shared" si="0"/>
        <v>11.647253183880885</v>
      </c>
      <c r="J90" s="3">
        <f t="shared" si="1"/>
        <v>6.103515625</v>
      </c>
    </row>
    <row r="91" spans="8:10" x14ac:dyDescent="0.25">
      <c r="H91" s="3">
        <v>600</v>
      </c>
      <c r="I91" s="3">
        <f t="shared" si="0"/>
        <v>12.041392285983067</v>
      </c>
      <c r="J91" s="3">
        <f t="shared" si="1"/>
        <v>6.103515625</v>
      </c>
    </row>
    <row r="92" spans="8:10" x14ac:dyDescent="0.25">
      <c r="H92" s="3">
        <v>610</v>
      </c>
      <c r="I92" s="3">
        <f t="shared" si="0"/>
        <v>12.441955236045224</v>
      </c>
      <c r="J92" s="3">
        <f t="shared" si="1"/>
        <v>6.103515625</v>
      </c>
    </row>
    <row r="93" spans="8:10" x14ac:dyDescent="0.25">
      <c r="H93" s="3">
        <v>620</v>
      </c>
      <c r="I93" s="3">
        <f t="shared" si="0"/>
        <v>12.848935592370527</v>
      </c>
      <c r="J93" s="3">
        <f t="shared" si="1"/>
        <v>6.103515625</v>
      </c>
    </row>
    <row r="94" spans="8:10" x14ac:dyDescent="0.25">
      <c r="H94" s="3">
        <v>630</v>
      </c>
      <c r="I94" s="3">
        <f t="shared" si="0"/>
        <v>13.262326921872063</v>
      </c>
      <c r="J94" s="3">
        <f t="shared" si="1"/>
        <v>6.103515625</v>
      </c>
    </row>
    <row r="95" spans="8:10" x14ac:dyDescent="0.25">
      <c r="H95" s="3">
        <v>640</v>
      </c>
      <c r="I95" s="3">
        <f t="shared" si="0"/>
        <v>13.682122800058456</v>
      </c>
      <c r="J95" s="3">
        <f t="shared" si="1"/>
        <v>6.103515625</v>
      </c>
    </row>
    <row r="96" spans="8:10" x14ac:dyDescent="0.25">
      <c r="H96" s="3">
        <v>650</v>
      </c>
      <c r="I96" s="3">
        <f t="shared" ref="I96" si="2">H96^2/($C$8*($C$12+1)/$C$24+H96)</f>
        <v>14.108316811019513</v>
      </c>
      <c r="J96" s="3">
        <f t="shared" ref="J96" si="3">$C$27</f>
        <v>6.103515625</v>
      </c>
    </row>
  </sheetData>
  <sheetProtection algorithmName="SHA-512" hashValue="HEdyFq828QxSFcEue6o2GyteWgYUh2xAEX4DVYlcCvhpNPOTOGqkWqNJlIZtyVsj5zcKSFytHJd7nFvDRY93Qw==" saltValue="AouZXFtE5wlAy1LBbsYqLg==" spinCount="100000" sheet="1" objects="1" scenarios="1"/>
  <protectedRanges>
    <protectedRange sqref="C10:C15 C23" name="Range1"/>
  </protectedRanges>
  <mergeCells count="1">
    <mergeCell ref="B3:E3"/>
  </mergeCells>
  <dataValidations count="1">
    <dataValidation type="list" allowBlank="1" showInputMessage="1" showErrorMessage="1" sqref="C23" xr:uid="{0706A1BE-E653-4689-A36D-97ADCC8D3492}">
      <formula1>$H$24:$H$27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Voltage &amp; Temp scaling</vt:lpstr>
      <vt:lpstr>Current scaling</vt:lpstr>
      <vt:lpstr>Open loop scaling</vt:lpstr>
      <vt:lpstr>Position scaling</vt:lpstr>
      <vt:lpstr>Velocity scaling</vt:lpstr>
      <vt:lpstr>Acceleration scaling</vt:lpstr>
      <vt:lpstr>Velocity meters comparison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Lenard Hess</dc:creator>
  <cp:keywords/>
  <dc:description/>
  <cp:lastModifiedBy>Lira Hernandez, Omar</cp:lastModifiedBy>
  <cp:revision/>
  <dcterms:created xsi:type="dcterms:W3CDTF">2022-08-11T13:43:50Z</dcterms:created>
  <dcterms:modified xsi:type="dcterms:W3CDTF">2026-03-27T10:39:25Z</dcterms:modified>
  <cp:category/>
  <cp:contentStatus/>
</cp:coreProperties>
</file>