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analog-my.sharepoint.com/personal/nagavenkatasarath_tadikonda_analog_com/Documents/Desktop/"/>
    </mc:Choice>
  </mc:AlternateContent>
  <xr:revisionPtr revIDLastSave="72" documentId="8_{FDD3E790-715A-4CE2-99C9-5FDF1F0CB595}" xr6:coauthVersionLast="47" xr6:coauthVersionMax="47" xr10:uidLastSave="{911C2453-7845-475B-A5AA-ADDAFED5D0A6}"/>
  <bookViews>
    <workbookView xWindow="67080" yWindow="-15" windowWidth="38640" windowHeight="21120" tabRatio="805" xr2:uid="{00000000-000D-0000-FFFF-FFFF00000000}"/>
  </bookViews>
  <sheets>
    <sheet name="DISCLAIMER" sheetId="1" r:id="rId1"/>
    <sheet name="SYSTEM SPECS" sheetId="2" r:id="rId2"/>
    <sheet name="SENSE PINS" sheetId="3" r:id="rId3"/>
    <sheet name="GATE&amp;DVDT PINS" sheetId="4" r:id="rId4"/>
    <sheet name="ISET&amp;ISTART PINS" sheetId="5" r:id="rId5"/>
    <sheet name="FET THERMALS" sheetId="6" r:id="rId6"/>
    <sheet name="EFAULT&amp;ESTART PINS" sheetId="7" r:id="rId7"/>
    <sheet name="OV&amp;UV PINS" sheetId="8" r:id="rId8"/>
    <sheet name="PWRGD PIN" sheetId="9" r:id="rId9"/>
    <sheet name="RND PIN" sheetId="10" r:id="rId10"/>
    <sheet name="CHANGE LOG" sheetId="12" r:id="rId11"/>
    <sheet name="HIDDEN CALCULATIONS" sheetId="13" state="hidden" r:id="rId12"/>
  </sheets>
  <definedNames>
    <definedName name="RPGHYST">'PWRGD PIN'!$C$24</definedName>
    <definedName name="RPWRGDPU">'PWRGD PIN'!$C$25</definedName>
    <definedName name="VPWRGDPU">'PWRGD PIN'!$C$26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9" l="1"/>
  <c r="C14" i="5"/>
  <c r="C12" i="5"/>
  <c r="C19" i="8"/>
  <c r="C12" i="8"/>
  <c r="F7" i="9" l="1"/>
  <c r="C6" i="9"/>
  <c r="G54" i="7"/>
  <c r="G53" i="7"/>
  <c r="G52" i="7"/>
  <c r="G51" i="7"/>
  <c r="G18" i="7"/>
  <c r="G17" i="7"/>
  <c r="G16" i="7"/>
  <c r="C35" i="5"/>
  <c r="C34" i="5"/>
  <c r="C33" i="5"/>
  <c r="C46" i="9" l="1"/>
  <c r="C44" i="9"/>
  <c r="C8" i="9"/>
  <c r="C33" i="9"/>
  <c r="C32" i="9"/>
  <c r="C31" i="9"/>
  <c r="C14" i="9"/>
  <c r="C37" i="9" s="1"/>
  <c r="C13" i="9"/>
  <c r="C36" i="9" s="1"/>
  <c r="C12" i="9"/>
  <c r="C35" i="9" s="1"/>
  <c r="C10" i="9"/>
  <c r="C9" i="9"/>
  <c r="N10" i="13"/>
  <c r="N11" i="13" s="1"/>
  <c r="N12" i="13" s="1"/>
  <c r="N9" i="13"/>
  <c r="M9" i="13"/>
  <c r="M10" i="13" s="1"/>
  <c r="M11" i="13" s="1"/>
  <c r="M12" i="13" s="1"/>
  <c r="M8" i="13"/>
  <c r="L7" i="13"/>
  <c r="L8" i="13" s="1"/>
  <c r="L9" i="13" s="1"/>
  <c r="L10" i="13" s="1"/>
  <c r="L11" i="13" s="1"/>
  <c r="L12" i="13" s="1"/>
  <c r="A3" i="13"/>
  <c r="A8" i="13" s="1"/>
  <c r="K2" i="13"/>
  <c r="K3" i="13" s="1"/>
  <c r="K4" i="13" s="1"/>
  <c r="K5" i="13" s="1"/>
  <c r="K6" i="13" s="1"/>
  <c r="K7" i="13" s="1"/>
  <c r="K8" i="13" s="1"/>
  <c r="K9" i="13" s="1"/>
  <c r="K10" i="13" s="1"/>
  <c r="K11" i="13" s="1"/>
  <c r="K12" i="13" s="1"/>
  <c r="H2" i="13"/>
  <c r="H3" i="13" s="1"/>
  <c r="H4" i="13" s="1"/>
  <c r="H5" i="13" s="1"/>
  <c r="H6" i="13" s="1"/>
  <c r="H7" i="13" s="1"/>
  <c r="E2" i="13"/>
  <c r="E3" i="13" s="1"/>
  <c r="B2" i="13"/>
  <c r="B3" i="13" s="1"/>
  <c r="B4" i="13" s="1"/>
  <c r="B5" i="13" s="1"/>
  <c r="F6" i="10"/>
  <c r="F5" i="10"/>
  <c r="F4" i="10"/>
  <c r="C23" i="8"/>
  <c r="F24" i="8" s="1"/>
  <c r="C26" i="8" s="1"/>
  <c r="C30" i="8" s="1"/>
  <c r="E78" i="7"/>
  <c r="E77" i="7"/>
  <c r="E54" i="7"/>
  <c r="D54" i="7"/>
  <c r="C54" i="7"/>
  <c r="E53" i="7"/>
  <c r="D53" i="7"/>
  <c r="C53" i="7"/>
  <c r="E52" i="7"/>
  <c r="D52" i="7"/>
  <c r="C52" i="7"/>
  <c r="I51" i="7"/>
  <c r="F51" i="7"/>
  <c r="E43" i="7"/>
  <c r="E42" i="7"/>
  <c r="E18" i="7"/>
  <c r="D18" i="7"/>
  <c r="C18" i="7"/>
  <c r="E17" i="7"/>
  <c r="D17" i="7"/>
  <c r="C17" i="7"/>
  <c r="E16" i="7"/>
  <c r="D16" i="7"/>
  <c r="C16" i="7"/>
  <c r="I15" i="7"/>
  <c r="F15" i="7"/>
  <c r="G15" i="7" s="1"/>
  <c r="C10" i="6"/>
  <c r="F4" i="6"/>
  <c r="F11" i="6" s="1"/>
  <c r="C11" i="6" s="1"/>
  <c r="G55" i="5"/>
  <c r="F55" i="5"/>
  <c r="G47" i="5"/>
  <c r="I46" i="5"/>
  <c r="I45" i="5"/>
  <c r="I44" i="5"/>
  <c r="G41" i="5"/>
  <c r="I40" i="5"/>
  <c r="I39" i="5"/>
  <c r="F39" i="5"/>
  <c r="I38" i="5"/>
  <c r="I36" i="5"/>
  <c r="I35" i="5"/>
  <c r="I34" i="5"/>
  <c r="F22" i="5"/>
  <c r="F21" i="5"/>
  <c r="F5" i="5"/>
  <c r="F4" i="5"/>
  <c r="C8" i="4"/>
  <c r="C9" i="4" s="1"/>
  <c r="C7" i="4"/>
  <c r="C10" i="4" s="1"/>
  <c r="C6" i="4"/>
  <c r="C11" i="4" s="1"/>
  <c r="C7" i="3"/>
  <c r="C6" i="3"/>
  <c r="F6" i="3" s="1"/>
  <c r="C37" i="5" s="1"/>
  <c r="F4" i="3"/>
  <c r="F17" i="2"/>
  <c r="C38" i="5" l="1"/>
  <c r="C41" i="9"/>
  <c r="C39" i="9"/>
  <c r="C16" i="9"/>
  <c r="C18" i="9"/>
  <c r="C25" i="8"/>
  <c r="C29" i="8" s="1"/>
  <c r="C27" i="8"/>
  <c r="C31" i="8" s="1"/>
  <c r="C6" i="5"/>
  <c r="C9" i="5" s="1"/>
  <c r="C8" i="5"/>
  <c r="C11" i="5" s="1"/>
  <c r="C7" i="5"/>
  <c r="C10" i="5" s="1"/>
  <c r="C13" i="5" s="1"/>
  <c r="C23" i="5"/>
  <c r="C26" i="5" s="1"/>
  <c r="C24" i="5"/>
  <c r="C27" i="5" s="1"/>
  <c r="C25" i="5"/>
  <c r="C28" i="5" s="1"/>
  <c r="C36" i="5"/>
  <c r="C40" i="5" s="1"/>
  <c r="F52" i="7"/>
  <c r="C12" i="4"/>
  <c r="C15" i="4" s="1"/>
  <c r="G7" i="13"/>
  <c r="G8" i="13" s="1"/>
  <c r="F7" i="13"/>
  <c r="F8" i="13" s="1"/>
  <c r="C8" i="3"/>
  <c r="C14" i="4"/>
  <c r="C17" i="4" s="1"/>
  <c r="F18" i="7"/>
  <c r="C7" i="10"/>
  <c r="C13" i="4"/>
  <c r="C16" i="4" s="1"/>
  <c r="A9" i="13"/>
  <c r="F16" i="7"/>
  <c r="F53" i="7"/>
  <c r="C16" i="8"/>
  <c r="F17" i="8" s="1"/>
  <c r="E4" i="13"/>
  <c r="E5" i="13" s="1"/>
  <c r="E6" i="13" s="1"/>
  <c r="E7" i="13" s="1"/>
  <c r="E8" i="13" s="1"/>
  <c r="E9" i="13" s="1"/>
  <c r="E10" i="13" s="1"/>
  <c r="E11" i="13" s="1"/>
  <c r="E12" i="13" s="1"/>
  <c r="A5" i="13"/>
  <c r="F17" i="7"/>
  <c r="F54" i="7"/>
  <c r="A6" i="13"/>
  <c r="B6" i="13"/>
  <c r="B7" i="13" s="1"/>
  <c r="B8" i="13" s="1"/>
  <c r="B9" i="13" s="1"/>
  <c r="B10" i="13" s="1"/>
  <c r="B11" i="13" s="1"/>
  <c r="B12" i="13" s="1"/>
  <c r="D8" i="13"/>
  <c r="D9" i="13" s="1"/>
  <c r="C8" i="13"/>
  <c r="C9" i="13" s="1"/>
  <c r="J11" i="13"/>
  <c r="J12" i="13" s="1"/>
  <c r="H8" i="13"/>
  <c r="H9" i="13" s="1"/>
  <c r="H10" i="13" s="1"/>
  <c r="H11" i="13" s="1"/>
  <c r="H12" i="13" s="1"/>
  <c r="I11" i="13"/>
  <c r="I12" i="13" s="1"/>
  <c r="C12" i="6"/>
  <c r="C13" i="6" s="1"/>
  <c r="C14" i="6" s="1"/>
  <c r="C15" i="6" s="1"/>
  <c r="A4" i="13"/>
  <c r="C9" i="8"/>
  <c r="F10" i="8" s="1"/>
  <c r="A10" i="13"/>
  <c r="A11" i="13"/>
  <c r="C8" i="10"/>
  <c r="A12" i="13"/>
  <c r="A7" i="13"/>
  <c r="C18" i="8" l="1"/>
  <c r="C11" i="8"/>
  <c r="C40" i="9"/>
  <c r="C20" i="8"/>
  <c r="C13" i="8"/>
  <c r="F23" i="5"/>
  <c r="J34" i="5" s="1"/>
  <c r="F25" i="5"/>
  <c r="K34" i="5" s="1"/>
  <c r="F24" i="5"/>
  <c r="J35" i="5" s="1"/>
  <c r="G40" i="5"/>
  <c r="F41" i="5"/>
  <c r="C39" i="5"/>
  <c r="A51" i="7"/>
  <c r="C17" i="9" l="1"/>
  <c r="C42" i="5"/>
  <c r="F42" i="5" s="1"/>
  <c r="C44" i="5" s="1"/>
  <c r="F44" i="5" s="1"/>
  <c r="K36" i="5"/>
  <c r="J36" i="5"/>
  <c r="K35" i="5"/>
  <c r="C46" i="5" l="1"/>
  <c r="F47" i="5" s="1"/>
  <c r="F45" i="5"/>
  <c r="F36" i="5" l="1"/>
  <c r="C49" i="5" s="1"/>
  <c r="F46" i="5"/>
  <c r="F37" i="5"/>
  <c r="C50" i="5" s="1"/>
  <c r="H55" i="5"/>
  <c r="C63" i="5" s="1"/>
  <c r="F38" i="5"/>
  <c r="C51" i="5" s="1"/>
  <c r="F35" i="5" l="1"/>
  <c r="C55" i="5" s="1"/>
  <c r="F34" i="5"/>
  <c r="C54" i="5" s="1"/>
  <c r="F33" i="5"/>
  <c r="C53" i="5" s="1"/>
  <c r="J39" i="5" l="1"/>
  <c r="J45" i="5" s="1"/>
  <c r="J38" i="5"/>
  <c r="J44" i="5" s="1"/>
  <c r="J40" i="5"/>
  <c r="J46" i="5" s="1"/>
  <c r="K40" i="5" l="1"/>
  <c r="K46" i="5" s="1"/>
  <c r="K39" i="5"/>
  <c r="K45" i="5" s="1"/>
  <c r="J48" i="5"/>
  <c r="C61" i="5" s="1"/>
  <c r="A15" i="7" s="1"/>
  <c r="K38" i="5"/>
  <c r="K44" i="5" s="1"/>
  <c r="J50" i="5"/>
  <c r="C60" i="5" s="1"/>
  <c r="J49" i="5"/>
  <c r="C59" i="5" s="1"/>
  <c r="C10" i="3" l="1"/>
</calcChain>
</file>

<file path=xl/sharedStrings.xml><?xml version="1.0" encoding="utf-8"?>
<sst xmlns="http://schemas.openxmlformats.org/spreadsheetml/2006/main" count="592" uniqueCount="397">
  <si>
    <t>DISCLAIMER:</t>
  </si>
  <si>
    <t xml:space="preserve">This design tool is the property of Analog Devices.  It is a design aid for use with the ADM1272  hotswap controller.  It may not be copied, transferred, or used for other purposes without express written approval of Analog Devices Inc. Although ADI has made substantial effort to ensure this spreadsheet software provides accurate results, the complexity, estimates used, component tolerences, PCB thermal variances, and nonlinearities preclude absolute accuracy guarantees.  It is provided "AS IS" and all responsibility for the actual design performance and verification is born by the end user. All designs should be verified independently and fully tested prior to manufacture. ADI disclaims any liability for damages of any kind resulting from the use of this spreadsheet software.  </t>
  </si>
  <si>
    <t>ADM1272</t>
  </si>
  <si>
    <t>REV1.02</t>
  </si>
  <si>
    <t>INSTRUCTIONS:</t>
  </si>
  <si>
    <t>This workbook is divided into separate sheets for each pin or function</t>
  </si>
  <si>
    <t>The user must fill-in all pink shaded cells</t>
  </si>
  <si>
    <t>Yellow shaded cells are calculated</t>
  </si>
  <si>
    <t>Green shaded cells are important results or notes</t>
  </si>
  <si>
    <t>Cyan shaded cells are ADM1272 device specs</t>
  </si>
  <si>
    <t>Fill-in the user inputs on each tab in this workbook to determine the external components, voltage and current thresholds, and timing parameters.</t>
  </si>
  <si>
    <t>SPECIFICATION</t>
  </si>
  <si>
    <t>VALUE</t>
  </si>
  <si>
    <t>UNIT/
TOLERANCE</t>
  </si>
  <si>
    <t>COMMENT</t>
  </si>
  <si>
    <t>SYSTEM
SPECS</t>
  </si>
  <si>
    <t>VIN(TYP)</t>
  </si>
  <si>
    <t>V</t>
  </si>
  <si>
    <t>Typical operating voltage</t>
  </si>
  <si>
    <t>VIN(MIN)</t>
  </si>
  <si>
    <t>Minimum operating voltage (not UV limit)</t>
  </si>
  <si>
    <t>VIN(MAX)</t>
  </si>
  <si>
    <t>Maximum operating voltage (not OV limit)</t>
  </si>
  <si>
    <t>I_LOAD(MAX OPERATING)</t>
  </si>
  <si>
    <t>A</t>
  </si>
  <si>
    <t>Maximum operating current
Largest average current expected during normal operation
(Not CB threshold, which is calculated in the ISET&amp;ISTART page)</t>
  </si>
  <si>
    <t>C_LOAD(TYP)</t>
  </si>
  <si>
    <t>uF</t>
  </si>
  <si>
    <t>Load capacitance
Assume +/-20% variation</t>
  </si>
  <si>
    <t>R_LOAD AT START UP</t>
  </si>
  <si>
    <t>Ω</t>
  </si>
  <si>
    <t>Resistive load at the output during start-up (adds to inrush)</t>
  </si>
  <si>
    <t>I_LOAD AT START UP</t>
  </si>
  <si>
    <t>Constant current load at start-up (adds to inrush)</t>
  </si>
  <si>
    <t>AMBIENT TEMPERATURE(MAX)</t>
  </si>
  <si>
    <r>
      <rPr>
        <sz val="10"/>
        <rFont val="Arial"/>
        <family val="2"/>
      </rPr>
      <t xml:space="preserve"> </t>
    </r>
    <r>
      <rPr>
        <vertAlign val="superscript"/>
        <sz val="10"/>
        <rFont val="Arial"/>
        <family val="2"/>
      </rPr>
      <t>o</t>
    </r>
    <r>
      <rPr>
        <sz val="10"/>
        <rFont val="Arial"/>
        <family val="2"/>
      </rPr>
      <t>C</t>
    </r>
  </si>
  <si>
    <t>Ambient operating temperature maximum</t>
  </si>
  <si>
    <t>SYSTEM VOLTAGES:</t>
  </si>
  <si>
    <t>NOTE: reflects voltages from multiple tabs in this worksheet</t>
  </si>
  <si>
    <t>SYSTEM VOLTAGE LABELS:</t>
  </si>
  <si>
    <t>V_ov       .</t>
  </si>
  <si>
    <t>OV threshold (with margins) – from “OV&amp;UV PINS” page</t>
  </si>
  <si>
    <t>V_op       .</t>
  </si>
  <si>
    <t>Operating voltage range (min, typ, max) – from “SYSTEM SPECS” page</t>
  </si>
  <si>
    <t>V_uv_h   .</t>
  </si>
  <si>
    <t>UV rising threshold (with margins) – from “OV&amp;UV PINS” page</t>
  </si>
  <si>
    <t>V_pgood .</t>
  </si>
  <si>
    <t>Power Good threshold – from “PWRGD PIN” page</t>
  </si>
  <si>
    <t>V_uv_l    .</t>
  </si>
  <si>
    <t>UV falling threshold (with margins) – from “OV&amp;UV PINS” page</t>
  </si>
  <si>
    <t>PIN</t>
  </si>
  <si>
    <t>COMPONENT/
LABEL</t>
  </si>
  <si>
    <t>SENSE+ PIN
SENSE- PIN</t>
  </si>
  <si>
    <t>SENSE RESISTOR UNIT VALUE</t>
  </si>
  <si>
    <t>mΩ</t>
  </si>
  <si>
    <t>NUMBER OF PARALLEL UNITS</t>
  </si>
  <si>
    <t xml:space="preserve">- </t>
  </si>
  <si>
    <t>TOTAL SENSE RESISTANCE</t>
  </si>
  <si>
    <t>POWER IN EACH SENSE RESISTOR</t>
  </si>
  <si>
    <t>W</t>
  </si>
  <si>
    <t>POWER IN ONE RESISTOR</t>
  </si>
  <si>
    <t>TOTAL POWER IN SENSE RESISTANCE
(MAX OPERATING CURRENT)</t>
  </si>
  <si>
    <t>CONTRIBUTES TO BOARD HEATING, WHICH CAN AFFECT FETs</t>
  </si>
  <si>
    <t>SENSE VOLTAGE AT MAX CURRENT</t>
  </si>
  <si>
    <t>mV</t>
  </si>
  <si>
    <t>Must be below 30mV</t>
  </si>
  <si>
    <t>Be sure to use an averaging network (10Ω) between the parallel sense 
resistors and the SENSE pins of the IC</t>
  </si>
  <si>
    <t>Recommend using a sense resistor with &gt;2x
Power rating margin</t>
  </si>
  <si>
    <t>Common resistor dimensions:</t>
  </si>
  <si>
    <t>RATING</t>
  </si>
  <si>
    <t>SIZE</t>
  </si>
  <si>
    <t>1W</t>
  </si>
  <si>
    <t>2W</t>
  </si>
  <si>
    <t>3W</t>
  </si>
  <si>
    <t>4W</t>
  </si>
  <si>
    <t>DVDT PIN
(GATE PIN)</t>
  </si>
  <si>
    <t>The following apply when inrush current is below the ISTART current limit
If the ISTART current limit is reached rates will be slower and times will be longer</t>
  </si>
  <si>
    <t>GATE PULL-UP CURRENT</t>
  </si>
  <si>
    <t>uA
20%</t>
  </si>
  <si>
    <t>DVDT CAPACITOR (C4)</t>
  </si>
  <si>
    <t>nanoFarad
20%</t>
  </si>
  <si>
    <t>Recommend ~2x voltage rating margin
Example: 100V rating for a 48V design</t>
  </si>
  <si>
    <t>GATE PIN RAMP RATE (MIN)</t>
  </si>
  <si>
    <t>V/s</t>
  </si>
  <si>
    <t>GATE PIN RAMP RATE (TYP)</t>
  </si>
  <si>
    <t>GATE PIN RAMP RATE (MAX)</t>
  </si>
  <si>
    <t>GATE RAMP UP TIME(NOMINAL VIN, MIN)</t>
  </si>
  <si>
    <t>ms</t>
  </si>
  <si>
    <t>time from Vgate = Vt to VOUT = VIN</t>
  </si>
  <si>
    <t>GATE RAMP UP TIME(NOMINAL VIN, TYP)</t>
  </si>
  <si>
    <t>GATE RAMP UP TIME(NOMINAL VIN, MAX)</t>
  </si>
  <si>
    <t>suggest below or around 100ms to ease MOSFET SOA check</t>
  </si>
  <si>
    <t>INRUSH CURRENT BY DVDT (MIN)</t>
  </si>
  <si>
    <t>check to ensure that this is below the ISTART current limit</t>
  </si>
  <si>
    <t>INRUSH CURRENT BY DVDT (TYP)</t>
  </si>
  <si>
    <t>INRUSH CURRENT BY DVDT (MAX)</t>
  </si>
  <si>
    <t>INRUSH INCLUDING START-UP R and I LOADS
(MIN)</t>
  </si>
  <si>
    <t>INRUSH INCLUDING START-UP R and I LOADS
(TYP)</t>
  </si>
  <si>
    <t>INRUSH INCLUDING START-UP R and I LOADS
(MAX)</t>
  </si>
  <si>
    <t>NOTE: A slower dv/dt ramp is better when there is no static current flowing during startup. Prefer a larger DVDT capacitor in this case.</t>
  </si>
  <si>
    <t>NOTE: If there is significant static load during startup then the FET may overheat, and a faster ramp is better. Prefer smaller DVDT cap in this case.</t>
  </si>
  <si>
    <t>NOTE: Cgs does not affect VOUT ramp time because Vgs remains constant. Cgd is usually much smaller than Cgd and is neglected.</t>
  </si>
  <si>
    <t>UNIT/
TOL.</t>
  </si>
  <si>
    <t>ISTART PIN</t>
  </si>
  <si>
    <t>RTOP (R14)</t>
  </si>
  <si>
    <t>kΩ
1%</t>
  </si>
  <si>
    <t>RBOTTOM (R15)</t>
  </si>
  <si>
    <t>ISTART PIN VOLTAGE (MIN)</t>
  </si>
  <si>
    <t>ISTART pin voltage is referenced to GND. Internally clamped to 100mV. If above 1.35V, internal 1V reference will be used.</t>
  </si>
  <si>
    <t>ISTART PIN VOLTAGE (TYP)</t>
  </si>
  <si>
    <t>ISTART PIN VOLTAGE (MAX)</t>
  </si>
  <si>
    <t>ISTART CURRENT LIMIT (MIN)</t>
  </si>
  <si>
    <t>NOTE: for most systems ISTART should be &gt;2x above the inrush current determined by the DVDT pin</t>
  </si>
  <si>
    <t>ISTART CURRENT LIMIT (TYP)</t>
  </si>
  <si>
    <t>ISTART CURRENT LIMIT (MAX)</t>
  </si>
  <si>
    <t>ISTART CIRCUIT BREAKER (MIN)</t>
  </si>
  <si>
    <t>To prevent ESTART from ramping up and possibly timing out, keep inrush current during startup below this circuit breaker level.</t>
  </si>
  <si>
    <t>ISTART CIRCUIT BREAKER (TYP)</t>
  </si>
  <si>
    <t>ISTART CIRCUIT BREAKER (MAX)</t>
  </si>
  <si>
    <t>SELECT EITHER: 
  CONSTANT CURRENT (2 RESISTORS)
  OR CONSTANT POWER (3 RESISTORS)</t>
  </si>
  <si>
    <t>Constant Current</t>
  </si>
  <si>
    <t>CONSTANT CURRENT USES A CONSTANT ISET PIN VOLTAGE
CONSTANT POWER MOVES ISET PIN VOLTAGE WITH VIN OR VOUT</t>
  </si>
  <si>
    <t>ISET PIN</t>
  </si>
  <si>
    <t>NOTE: There are two modes for ISET: constant current limit and constant power limit.
For constant current limit there are two resistors and the ISET pin voltage is constant.
For constant power limit there are three resistors, and the ISET pin voltage moves with VIN.</t>
  </si>
  <si>
    <t>Constant current limit mode (2 resistors)
Calculate the current limit from resistor values</t>
  </si>
  <si>
    <t>RTOP (R12)</t>
  </si>
  <si>
    <t>Resistor from VCAP to ISET</t>
  </si>
  <si>
    <t>RBOTTOM (R13)</t>
  </si>
  <si>
    <t>Resistor from ISET to GND</t>
  </si>
  <si>
    <t>VCAP-VISET(ACROSS RTOP, MIN)</t>
  </si>
  <si>
    <t>NOTE: cannot exceed 1.2V or the default 30mV Vsense limit will apply</t>
  </si>
  <si>
    <t>VCAP-VISET(ACROSS RTOP, TYP)</t>
  </si>
  <si>
    <t>Current limit setting is determined by VCAP-ISET voltage, the voltage across RTOP</t>
  </si>
  <si>
    <t>VCAP-VISET(ACROSS RTOP, MAX)</t>
  </si>
  <si>
    <t>ISET CURRENT LIMIT(MIN)</t>
  </si>
  <si>
    <t>ISET CURRENT LIMIT(TYP)</t>
  </si>
  <si>
    <t>Constant current circuit breaker limit typical value</t>
  </si>
  <si>
    <t>ISET CURRENT LIMIT(MAX)</t>
  </si>
  <si>
    <t>USE EITHER THE ABOVE CALCULATIONS OR THE BELOW CALCULATIONS. NOT BOTH</t>
  </si>
  <si>
    <t>Constant POWER limit mode (3 resistors)
Calculate the resistor values from system parameters</t>
  </si>
  <si>
    <t xml:space="preserve">Input the max constant power required by the load. The tool will calculate recommended R11-R13 for achieving this. Pick R11-R13 values close to the recommended values. The new calculated VISET and I_LIMIT values will be determined. </t>
  </si>
  <si>
    <t>NOTE: Connect R11 (constant power) to VOUT when there are input voltage steps.
This will stabilize transient recovery.</t>
  </si>
  <si>
    <t>MAX CONSTANT POWER LIMIT 
DELIVERED TO THE LOAD (W)</t>
  </si>
  <si>
    <t>Maximum amount of power that can be delivered to the load at any voltage. This is where the current limit will engage.</t>
  </si>
  <si>
    <t>CONSTANT CURRENT:</t>
  </si>
  <si>
    <t>I_LIMIT_TYP (@VIN TYP)</t>
  </si>
  <si>
    <t>Current limit when Vin=midpoint</t>
  </si>
  <si>
    <t>Vin</t>
  </si>
  <si>
    <t>I_lim</t>
  </si>
  <si>
    <t>P_load</t>
  </si>
  <si>
    <t>I_LIMIT_MAX (@VIN MIN)</t>
  </si>
  <si>
    <t>Current limit when Vin=max
Make sure this max current is sustainable in the circuit</t>
  </si>
  <si>
    <t>I_LIMIT_MIN (@VIN MAX)</t>
  </si>
  <si>
    <t>Current limit when Vin=min</t>
  </si>
  <si>
    <t>V_ISET(typ)</t>
  </si>
  <si>
    <t>Ground referenced ISET voltage at typical VIN operating voltage</t>
  </si>
  <si>
    <t>ISET PIN VOLTAGE MIN</t>
  </si>
  <si>
    <t>Ground referenced ISET pin voltage at I_LIMIT_MIN
MUST BE &gt; 1.5V (else lower Rsense) OR THE CURRENT LIMIT DEFAULTS TO 30mV/Rsns</t>
  </si>
  <si>
    <t>CONSTANT POWER:</t>
  </si>
  <si>
    <t>ISET PIN VOLTAGE MAX</t>
  </si>
  <si>
    <t>Ground referenced ISET pin voltage at I_LIMIT_MIN
MUST BE &gt; 1.5V OR THE CURRENT LIMIT DEFAULTS TO 30mV/Rsns</t>
  </si>
  <si>
    <t>DELTA_ISET</t>
  </si>
  <si>
    <t>ISET pin voltage variation with VIN variation</t>
  </si>
  <si>
    <t>R11 (Calculated)</t>
  </si>
  <si>
    <r>
      <rPr>
        <sz val="10"/>
        <rFont val="Arial"/>
        <family val="2"/>
      </rPr>
      <t>k</t>
    </r>
    <r>
      <rPr>
        <sz val="10"/>
        <rFont val="Arial"/>
        <family val="2"/>
      </rPr>
      <t>Ω
1%</t>
    </r>
  </si>
  <si>
    <t>Calculated to give 25uA of current through R13 at Vin(middle). Usually near 2MΩ. NOTE: connect to either Vin or Vout, depending on circuit conditions</t>
  </si>
  <si>
    <t>OPTIONAL R11 OVERRIDE VALUE</t>
  </si>
  <si>
    <r>
      <rPr>
        <sz val="10"/>
        <rFont val="Arial"/>
        <family val="2"/>
      </rPr>
      <t>k</t>
    </r>
    <r>
      <rPr>
        <sz val="10"/>
        <rFont val="Arial"/>
        <family val="2"/>
      </rPr>
      <t>Ω</t>
    </r>
  </si>
  <si>
    <t>If left blank, calculated value will be used</t>
  </si>
  <si>
    <t>R_THEVENIN</t>
  </si>
  <si>
    <t>Thevenin equivalent resistance (R12||R13||R11)</t>
  </si>
  <si>
    <t>PLOT VALUES CONDITIONALLY:</t>
  </si>
  <si>
    <t>R12 (Calculated)</t>
  </si>
  <si>
    <t>Top resistor to VCAP</t>
  </si>
  <si>
    <t>OPTIONAL R12 OVERRIDE VALUE</t>
  </si>
  <si>
    <t>R13 (Calculated)</t>
  </si>
  <si>
    <t>Bottom resistor to GND</t>
  </si>
  <si>
    <t>OPTIONAL R13 OVERRIDE VALUE</t>
  </si>
  <si>
    <t>MAX ILIM:</t>
  </si>
  <si>
    <t xml:space="preserve">V_ISET(typ) for used R11-R13 </t>
  </si>
  <si>
    <t>Must be &gt; 1.5V or current limit defaults to 30mV/Rsns</t>
  </si>
  <si>
    <t>MIN ILIM:</t>
  </si>
  <si>
    <t>ISET PIN VOLTAGE MIN for used R11-R13</t>
  </si>
  <si>
    <t>CB offset:</t>
  </si>
  <si>
    <t>AVG ILIM:</t>
  </si>
  <si>
    <t>ISET PIN VOLTAGE MAX for used R11-R13</t>
  </si>
  <si>
    <t>I_LIMIT_TYP (@VIN TYP) for used R11-R13</t>
  </si>
  <si>
    <t>I_LIMIT_MAX (@VIN MIN) for used R11-R13</t>
  </si>
  <si>
    <t>ISTART</t>
  </si>
  <si>
    <t>ISET I</t>
  </si>
  <si>
    <t>ISET P</t>
  </si>
  <si>
    <t>I_LIMIT_MIN (@VIN MAX) for used R11-R13</t>
  </si>
  <si>
    <t>ISET CIRCUIT BREAKER THRESHOLD (MIN)</t>
  </si>
  <si>
    <t>NOTE: CB threshold is lower than ISET current limit by a small offset</t>
  </si>
  <si>
    <t>ISET CIRCUIT BREAKER THRESHOLD (TYP)</t>
  </si>
  <si>
    <t>The CB threshold is where the EFAULT timer starts working</t>
  </si>
  <si>
    <t>ISET CIRCUIT BREAKER THRESHOLD (MAX)</t>
  </si>
  <si>
    <t>TOTAL CURRENT FROM VCAP
THROUGH RESISTORS</t>
  </si>
  <si>
    <t>uA</t>
  </si>
  <si>
    <t>Maintain &lt; 100uA current from VCAP</t>
  </si>
  <si>
    <t>FET</t>
  </si>
  <si>
    <t>FET NAME</t>
  </si>
  <si>
    <t>PSMN4R8-100BSE</t>
  </si>
  <si>
    <t>-</t>
  </si>
  <si>
    <t>FET RDSON(MAX, 25C)</t>
  </si>
  <si>
    <t>FRONT PAGE RDSON</t>
  </si>
  <si>
    <t>FET RDSON COEFFICIENT</t>
  </si>
  <si>
    <t>MULTIPLIER FOR OPERATION AT HIGH TEMPERATURE (eg 125C)</t>
  </si>
  <si>
    <t>FET R_θja</t>
  </si>
  <si>
    <r>
      <rPr>
        <vertAlign val="superscript"/>
        <sz val="10"/>
        <rFont val="Arial"/>
        <family val="2"/>
      </rPr>
      <t>o</t>
    </r>
    <r>
      <rPr>
        <sz val="10"/>
        <rFont val="Arial"/>
        <family val="2"/>
      </rPr>
      <t>C/W</t>
    </r>
  </si>
  <si>
    <t>Note that copper area and airflow greatly affect this value
Values between 15C and 65C are common</t>
  </si>
  <si>
    <t>FET MAX TEMPERATURE</t>
  </si>
  <si>
    <r>
      <rPr>
        <vertAlign val="superscript"/>
        <sz val="10"/>
        <rFont val="Arial"/>
        <family val="2"/>
      </rPr>
      <t>o</t>
    </r>
    <r>
      <rPr>
        <sz val="10"/>
        <rFont val="Arial"/>
        <family val="2"/>
      </rPr>
      <t>C</t>
    </r>
  </si>
  <si>
    <t>USUALLY EITHER 150C or 175C</t>
  </si>
  <si>
    <t>FET TEMP AT WHICH SOA WAS PLOTTED</t>
  </si>
  <si>
    <t>CASE OR AMBIENT TEMPERATURE ON THE SOA PLOT
USUALLY 25C</t>
  </si>
  <si>
    <t>NUMBER OF PARALLEL FETS</t>
  </si>
  <si>
    <t>PARALLEL FETS WILL SHARE STEADY-STATE CURRENT
DO NOT EXCEED 6 PARALLEL FETs</t>
  </si>
  <si>
    <t>MAX CURRENT PER FET</t>
  </si>
  <si>
    <t>OPERATING CURRENT DIVIDED ACROSS PARALLEL FETS
You can add additional margin by increasing operating current on the 
SYSTEM SPECS page.</t>
  </si>
  <si>
    <t>FET RDSON AT HIGH TEMPERATURE
(SINGLE FET)</t>
  </si>
  <si>
    <t>STEADY STATE POWER DISSIPATION
(EACH FET)</t>
  </si>
  <si>
    <t>MAX OPERATING CURRENT x FET RDSON
RECOMMEND &lt;= 1W</t>
  </si>
  <si>
    <t>STEADY STATE TEMPERATURE RISE</t>
  </si>
  <si>
    <t>FET OPERATING JUNCTION TEMPERATURE</t>
  </si>
  <si>
    <t>CHECK TO MAKE SURE THIS TEMPERATURE IS 
&lt;&lt; FET MAX JUNCTION TEMP
RULSE OF THUMB: operate the FET below 100C to give SOA margin</t>
  </si>
  <si>
    <t>DERATING FACTOR</t>
  </si>
  <si>
    <t>USE PARALLEL FETS TO KEEP THIS NUMBER &lt;= 2
CONSIDER IF YOUR SYSTEM CAN LOWER R_θja WITH AIRFLOW
ADJUST R_θja TO COMPREHEND AIRFLOW AND LAYOUT</t>
  </si>
  <si>
    <t>NOTE:</t>
  </si>
  <si>
    <r>
      <rPr>
        <sz val="10"/>
        <rFont val="Arial"/>
        <family val="2"/>
      </rPr>
      <t xml:space="preserve">Three things to consider when selecting a FET:
1) Rdson for steady-state power dissipation
2) Number of parallel FETs to share steady-state current and limit heat
3) SOA performance of a </t>
    </r>
    <r>
      <rPr>
        <u/>
        <sz val="10"/>
        <rFont val="Arial"/>
        <family val="2"/>
      </rPr>
      <t>single</t>
    </r>
    <r>
      <rPr>
        <sz val="10"/>
        <rFont val="Arial"/>
        <family val="2"/>
      </rPr>
      <t xml:space="preserve"> FET carrying </t>
    </r>
    <r>
      <rPr>
        <u/>
        <sz val="10"/>
        <rFont val="Arial"/>
        <family val="2"/>
      </rPr>
      <t>all</t>
    </r>
    <r>
      <rPr>
        <sz val="10"/>
        <rFont val="Arial"/>
        <family val="2"/>
      </rPr>
      <t xml:space="preserve"> of the circuit breaker current</t>
    </r>
  </si>
  <si>
    <t>PROCEDURE:</t>
  </si>
  <si>
    <t>HINTS:</t>
  </si>
  <si>
    <t>1)</t>
  </si>
  <si>
    <t>The current values are automatically calculated from the derated ISET and ISTART current limits.</t>
  </si>
  <si>
    <t xml:space="preserve">2) </t>
  </si>
  <si>
    <t xml:space="preserve">3) </t>
  </si>
  <si>
    <t xml:space="preserve">4) </t>
  </si>
  <si>
    <t xml:space="preserve">5) </t>
  </si>
  <si>
    <t>Sometimes there is a DC curve on the SOA plot. For DC, enter 100ms or 1000ms in the Delay(spec) column.</t>
  </si>
  <si>
    <t xml:space="preserve">6) </t>
  </si>
  <si>
    <t>7)</t>
  </si>
  <si>
    <t xml:space="preserve">8) </t>
  </si>
  <si>
    <t>9)</t>
  </si>
  <si>
    <t>EFAULT PIN</t>
  </si>
  <si>
    <t>Id
(derated)</t>
  </si>
  <si>
    <t>Vds</t>
  </si>
  <si>
    <t>C8
(nF)</t>
  </si>
  <si>
    <t>R19 (top)
(kΩ)</t>
  </si>
  <si>
    <t>R18 (botom)
(kΩ)</t>
  </si>
  <si>
    <t>ARG</t>
  </si>
  <si>
    <t>Delay (ms)
(calc)</t>
  </si>
  <si>
    <t>Delay (ms)
(spec)</t>
  </si>
  <si>
    <t>FET
NAME</t>
  </si>
  <si>
    <t>use the red line for EFAULT</t>
  </si>
  <si>
    <t>use the green line for ESTART</t>
  </si>
  <si>
    <r>
      <rPr>
        <sz val="10"/>
        <rFont val="Arial"/>
        <family val="2"/>
      </rPr>
      <t xml:space="preserve">EFAULT WILL </t>
    </r>
    <r>
      <rPr>
        <b/>
        <u/>
        <sz val="10"/>
        <rFont val="Arial"/>
        <family val="2"/>
      </rPr>
      <t>NEVER</t>
    </r>
    <r>
      <rPr>
        <sz val="10"/>
        <rFont val="Arial"/>
        <family val="2"/>
      </rPr>
      <t xml:space="preserve"> TRIP FOR VDS &lt; </t>
    </r>
  </si>
  <si>
    <r>
      <rPr>
        <sz val="10"/>
        <rFont val="Arial"/>
        <family val="2"/>
      </rPr>
      <t xml:space="preserve">EFAULT WILL </t>
    </r>
    <r>
      <rPr>
        <b/>
        <u/>
        <sz val="10"/>
        <rFont val="Arial"/>
        <family val="2"/>
      </rPr>
      <t>INSTANTLY</t>
    </r>
    <r>
      <rPr>
        <sz val="10"/>
        <rFont val="Arial"/>
        <family val="2"/>
      </rPr>
      <t xml:space="preserve"> TRIP FOR VDS &gt; </t>
    </r>
  </si>
  <si>
    <t>Perform the same exercise as above for the ESTART pin. Move the green horizontal line on the SOA plot to the Id current level
Start-up currents are much lower, so the Id line is lower and the Vds numbers will be different</t>
  </si>
  <si>
    <t>ESTART PIN</t>
  </si>
  <si>
    <t>C6
(nF)</t>
  </si>
  <si>
    <t>R16 (top)
(kΩ)</t>
  </si>
  <si>
    <t>R17 (bottom)
(kΩ)</t>
  </si>
  <si>
    <r>
      <rPr>
        <sz val="10"/>
        <rFont val="Arial"/>
        <family val="2"/>
      </rPr>
      <t xml:space="preserve">ESTART WILL </t>
    </r>
    <r>
      <rPr>
        <b/>
        <u/>
        <sz val="10"/>
        <rFont val="Arial"/>
        <family val="2"/>
      </rPr>
      <t>NEVER</t>
    </r>
    <r>
      <rPr>
        <sz val="10"/>
        <rFont val="Arial"/>
        <family val="2"/>
      </rPr>
      <t xml:space="preserve"> TRIP FOR VDS &lt; </t>
    </r>
  </si>
  <si>
    <r>
      <rPr>
        <sz val="10"/>
        <rFont val="Arial"/>
        <family val="2"/>
      </rPr>
      <t xml:space="preserve">ESTART WILL </t>
    </r>
    <r>
      <rPr>
        <b/>
        <u/>
        <sz val="10"/>
        <rFont val="Arial"/>
        <family val="2"/>
      </rPr>
      <t>INSTANTLY</t>
    </r>
    <r>
      <rPr>
        <sz val="10"/>
        <rFont val="Arial"/>
        <family val="2"/>
      </rPr>
      <t xml:space="preserve"> TRIP FOR VDS &gt; </t>
    </r>
  </si>
  <si>
    <t>COMPONENT / LABEL</t>
  </si>
  <si>
    <t>UNIT</t>
  </si>
  <si>
    <t>UVL PIN
UVH PIN
OV PIN</t>
  </si>
  <si>
    <t>VIN UV RISING THRESHOLD</t>
  </si>
  <si>
    <t>must be below VIN(MIN)</t>
  </si>
  <si>
    <t>VIN UV FALLING THRESHOLD</t>
  </si>
  <si>
    <t>VIN OV THRESHOLD</t>
  </si>
  <si>
    <t>must be above VIN(MAX)</t>
  </si>
  <si>
    <t>UVH RISING</t>
  </si>
  <si>
    <t>R2 (top UVH resistor)</t>
  </si>
  <si>
    <t>kΩ</t>
  </si>
  <si>
    <t>suggest 100kΩ</t>
  </si>
  <si>
    <t>R3 (bottom UVH resistor)</t>
  </si>
  <si>
    <t>OPTIONAL OVERRIDE VALUE FOR R3</t>
  </si>
  <si>
    <t>CALCULATED UVH THRESHOLD (MAX)</t>
  </si>
  <si>
    <t>assumes 1.0% resistors</t>
  </si>
  <si>
    <t>CALCULATED UVH THRESHOLD (TYP)</t>
  </si>
  <si>
    <t>CALCULATED UVH THRESHOLD (MIN)</t>
  </si>
  <si>
    <t>UVL FALLING</t>
  </si>
  <si>
    <t>R26 (top UVL resistor)</t>
  </si>
  <si>
    <t>R27 (bottom UVL resistor)</t>
  </si>
  <si>
    <t>OPTIONAL OVERRIDE VALUE FOR R27</t>
  </si>
  <si>
    <t>CALCULATED UVL THRESHOLD (MAX)</t>
  </si>
  <si>
    <t>CALCULATED UVL THRESHOLD (TYP)</t>
  </si>
  <si>
    <t>CALCULATED UVL THRESHOLD (MIN)</t>
  </si>
  <si>
    <t>OV RISING</t>
  </si>
  <si>
    <t>R4 (top OV resistor)</t>
  </si>
  <si>
    <t>R5 (bottom OV resistor)</t>
  </si>
  <si>
    <t>OPTIONAL OVERRIDE VALUE FOR R5</t>
  </si>
  <si>
    <t>CALCULATED OV THRESHOLD (MAX)</t>
  </si>
  <si>
    <t>CALCULATED OV THRESHOLD (TYP)</t>
  </si>
  <si>
    <t>CALCULATED OV THRESHOLD (MIN)</t>
  </si>
  <si>
    <t>OV FALLING</t>
  </si>
  <si>
    <t>PWRGD</t>
  </si>
  <si>
    <t>VOUT PWRGD RISING THRESHOLD</t>
  </si>
  <si>
    <t>Voltage above which the ADM1272 will declare the output good; Must be below VIN(MIN)</t>
  </si>
  <si>
    <t>R_BOTTOM (R9)</t>
  </si>
  <si>
    <t>Suggest 4.99kΩ</t>
  </si>
  <si>
    <t>R_TOP (R8)
CALCULATED</t>
  </si>
  <si>
    <t>Top resistor;  Note: it may be wise to split this into multiple resistors to spread heat and voltage drop</t>
  </si>
  <si>
    <t>R_TOP MANUALLY ENTERED VALUE
(OPTIONAL)</t>
  </si>
  <si>
    <t>Suggest using the calculated value above, or the nearest E96 value; Leave blank for default</t>
  </si>
  <si>
    <t>VOUT RISING THRESHOLD (MAX)</t>
  </si>
  <si>
    <t xml:space="preserve">PWGIN Threshold + Hysteresis variations, assumes 1% resistors </t>
  </si>
  <si>
    <t>VOUT RISING THRESHOLD (NOMINAL)</t>
  </si>
  <si>
    <t>PWGIN pin has 60mV hysteresis.</t>
  </si>
  <si>
    <t>VOUT RISING THRESHOLD (MIN)</t>
  </si>
  <si>
    <t>VOUT FALLING THRESHOLD
(MAX)</t>
  </si>
  <si>
    <t>Assumes 1% resistors</t>
  </si>
  <si>
    <t>VOUT FALLING THRESHOLD
(NOMINAL)</t>
  </si>
  <si>
    <t>VOUT FALLING THRESHOLD
(MIN)</t>
  </si>
  <si>
    <t>PWRGD HYSTERESIS (MAX)</t>
  </si>
  <si>
    <t>PWRGD HYSTERESIS (TYP)</t>
  </si>
  <si>
    <t>PWRGD HYSTERESIS (MIN)</t>
  </si>
  <si>
    <t>Set the PWRGD rising threshold just below the UVH threshold for reliable startup behavior</t>
  </si>
  <si>
    <t>Optional: To Increase Hysteresis, Place a Resistor Between PWRGD and PWGIN</t>
  </si>
  <si>
    <t>RHYST (between PWRGD &amp; PWGIN)</t>
  </si>
  <si>
    <t>If not used, leave as 1e6 kΩ (i.e., 1GΩ)</t>
  </si>
  <si>
    <t>RPU (PWRGD pullup resistor)</t>
  </si>
  <si>
    <t>Pullup resistor from PWRGD to VPU</t>
  </si>
  <si>
    <t>VPU (PWRGD pullup voltage)</t>
  </si>
  <si>
    <t>TOLERANCE OF VPU</t>
  </si>
  <si>
    <t>%</t>
  </si>
  <si>
    <t>TOLERANCE OF RPU</t>
  </si>
  <si>
    <t>TOLERANCE OF RHYST</t>
  </si>
  <si>
    <t>VOUT FALLING THRESHOLD (MAX)</t>
  </si>
  <si>
    <t>RND PIN</t>
  </si>
  <si>
    <t>ADM1272 ramps this pin up a random number of times 
When exiting UVLO</t>
  </si>
  <si>
    <t>CAPACITOR VALUE (C7)</t>
  </si>
  <si>
    <t>nF</t>
  </si>
  <si>
    <t>Do not exceed 220nF</t>
  </si>
  <si>
    <t>SYSTEM BOOT-UP TIME</t>
  </si>
  <si>
    <t>Time for the system to exit UVLO and begin ramping the RND capacitor</t>
  </si>
  <si>
    <t>RND PIN CURRENT</t>
  </si>
  <si>
    <t>RANDOM TIME MIN</t>
  </si>
  <si>
    <t>RANDOM TIME MAX</t>
  </si>
  <si>
    <t>MAX value of 3.69 seconds for large capacitor sizes</t>
  </si>
  <si>
    <t>Version
Number</t>
  </si>
  <si>
    <t>Changes</t>
  </si>
  <si>
    <t>Initial Release</t>
  </si>
  <si>
    <t>Corrected cell references in the ESTART fields on the EFAULT&amp;ESTART PINS page</t>
  </si>
  <si>
    <t>Added Rsense power dissipation
Changes to PWRGD sheet
Corrections to ISET&amp;ISTART sheet
Adjusted various comments throughout the document</t>
  </si>
  <si>
    <t>0.2r2</t>
  </si>
  <si>
    <t>Fixed an error in the sense resistor Pdiss calculation</t>
  </si>
  <si>
    <t>0.2r3</t>
  </si>
  <si>
    <t>Added voltage plots on the SYSTEM SPECS page
Added plots to the ISET&amp;ISTART page
Revised the EFAULT&amp;ESTART page</t>
  </si>
  <si>
    <t>Major cleanup of cell units, colors, formatting</t>
  </si>
  <si>
    <t>Added equation limits (min and max) to EFAULT and ESTART page
Changed ESTART from using DVDT current to using ISTART current</t>
  </si>
  <si>
    <t>Changed SYSTEM SPECS Cload units from F to uF
Fixed an error in cell C37  ISET&amp;ISTART page
Fixed formatting in dely spec column EFAULT section
Added more color to the ISET pin overrange errors</t>
  </si>
  <si>
    <t>Added power per sense resistor to the SENSE PINS page
Fixed a number formatting error in the SENSE PINS page
Fixed a number formatting bug on the EFAULT page
Fixed cell protections on ISET page
Updated block diagrams</t>
  </si>
  <si>
    <t>Added EFAULT &amp; ESTART limit warnings
Added warnings for PWRGD voltage
Added warnings for sense voltage range and current from VCAP LDO
Corrected a typo on the OV&amp;UV PINS page
Added clarifying comments on FET THERMALS page</t>
  </si>
  <si>
    <t>Added V(ISET) clamp to the ISET &gt; 1.2V equation
Added divide-by-zero protection for rows 16 - 17 on GATE&amp;DVDT page
Added Cgs, Cgd comment on GATE&amp;DVDT page</t>
  </si>
  <si>
    <t>Clamped startup current limit when ISTART falls below ~100mV</t>
  </si>
  <si>
    <t>Clamped constant power current limit when ISET falls below 1.5V</t>
  </si>
  <si>
    <t>Separated UVH/UVL/OV top resistors; added PWRGD increased hysteresis calculation</t>
  </si>
  <si>
    <t>Added typical UV/OV thresholds and min/max PWRGD thresholds</t>
  </si>
  <si>
    <t>Added ISTART circuit breaker thresholds</t>
  </si>
  <si>
    <t>Vin ramp</t>
  </si>
  <si>
    <t>V_uv_h</t>
  </si>
  <si>
    <t>V_uv_h(hi)</t>
  </si>
  <si>
    <t>V_uv_h(low)</t>
  </si>
  <si>
    <t>Vuv_l</t>
  </si>
  <si>
    <t>Vuv_l(hi)</t>
  </si>
  <si>
    <t>Vuv_l(low)</t>
  </si>
  <si>
    <t>Vov</t>
  </si>
  <si>
    <t>Vov(hi)</t>
  </si>
  <si>
    <t>Vov(low)</t>
  </si>
  <si>
    <t>V_pgood</t>
  </si>
  <si>
    <t>V_op_min</t>
  </si>
  <si>
    <t>V_op_typ</t>
  </si>
  <si>
    <t>V_op_max</t>
  </si>
  <si>
    <t>NOTE: all ranges are static percentages and may note be accurate</t>
  </si>
  <si>
    <t>Derating the current means multiplying the limit (such as the CB limit) by the derating factor before looking at the SOA plot. For instance, if your FET heats up enough to derate the curves by a factor of 2x, and your CB limit is 20A, 
then use the 2x20A=40A horizontal line on the SOA plot.</t>
  </si>
  <si>
    <t>AN ERROR IN THE DELAY COLUMN MEANS THE TIMER WILL NEVER TIME OUT AT THIS CONDITION. Available capacitor values are limited (10nF, 15nF, 22nF, etc.) but available resistor values are more granular. Suggest selecting a capacitor value first, then choosing resistors to move the curve up and down.</t>
  </si>
  <si>
    <t>Choose your favorite FET. Its part number is filled-in from the FET THERMALS page. Paste a copy of the datasheet SOA plot in the box below. Replace the example plot shown here.</t>
  </si>
  <si>
    <t>Click and drag the horizontal red line across the FET SOA plot at the level of the derated Id current. This line intersects the various plot lines for times, such as 10ms, 1ms, 100us, etc.</t>
  </si>
  <si>
    <t>On the SOA plot read the voltages at which your horizontal line intersects each time line. Enter these voltages in the Vds column</t>
  </si>
  <si>
    <t>On the SOA plot read the times of each curve intersected, and enter them in the Delay(spec) column. These are usually powers of 10, like 10ms, 1ms, etc. but you can change to other values, like 5ms, 600us, etc. You can, for example, pick a significant voltage that matters for your circuit and enter the delay required from the SOA plot.</t>
  </si>
  <si>
    <t>Enter the value of the EFAULT capacitor in the C column. You will adjust this capacitor value to achieve the desired delay. Suggested starting value C8=22nF</t>
  </si>
  <si>
    <t>Enter the value of the top resistor (in series with C) in the R19 column. You will adjust the value of this resistor to move the delay curve up and down. Suggested value: R19 &lt; 10k</t>
  </si>
  <si>
    <t>Enter the value of the bottom resistor (in parallel with C) in the R18 column. This resistor is often infinity, in which case you can enter 1e+10, or greater. Suggested value: R18 &gt; 50xR19</t>
  </si>
  <si>
    <t>Adjust the value of R1 and C to keep the blue delay curve below (but not too far below) the red spec curve. The red curve represents the delay spec. Blue represents your given circuit. C8 moves the blue curve vertically. R19 moves the high Vds delay. R18 moves the low Vds delay.</t>
  </si>
  <si>
    <t>During current limiting, inherent FET mismatch will force most of the current into one FET, even if there are multiple FETs in parallel. Only during steady-state operation, when all parallel FETs are fully enhanced, Will the current share between FETs.</t>
  </si>
  <si>
    <t>Be sure to include the operating max voltage in the table. No need to go all the way to the FET max voltage.
For many circuits this operating max is 60V. You can estimate the time-out at this voltage.
For some circuits there are known trouble spots, like a known load impedance that forces a known Vds.
If possible, include these conditions in the table. For instance, if Vds=12V is a known trouble case for the circuit, estimate the time-out value at 12V from the SOA plot.</t>
  </si>
  <si>
    <t>VPWRGD HIGH w/ RHYST (TYP)</t>
  </si>
  <si>
    <t>VPWRGD HIGH w/ RHYST (MIN)</t>
  </si>
  <si>
    <t>Assumes VOUT is at VIN(MAX)</t>
  </si>
  <si>
    <t>Assumes VOUT is at VIN(TYP)</t>
  </si>
  <si>
    <t>Assumes VOUT is at VIN(MIN)</t>
  </si>
  <si>
    <t>VPWRGD HIGH w/ RHYST (MAX)</t>
  </si>
  <si>
    <t>In powergood condition, PWRGD will be lower than VPU when using RHYST</t>
  </si>
  <si>
    <t>Added VPWRGD HIGH w/ RHYST in PWRGD PIN sheet</t>
  </si>
  <si>
    <t>Added RHYST connection diagram in PWRGD PIN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</si>
</sst>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E+00"/>
  </numFmts>
  <fonts count="27">
    <font>
      <sz val="10"/>
      <name val="Arial"/>
      <family val="2"/>
    </font>
    <font>
      <sz val="10"/>
      <name val="Arial"/>
      <family val="2"/>
    </font>
    <font>
      <b/>
      <sz val="24"/>
      <color rgb="FF000000"/>
      <name val="Arial"/>
      <family val="2"/>
    </font>
    <font>
      <sz val="18"/>
      <color rgb="FF000000"/>
      <name val="Arial"/>
      <family val="2"/>
    </font>
    <font>
      <sz val="12"/>
      <color rgb="FF000000"/>
      <name val="Arial"/>
      <family val="2"/>
    </font>
    <font>
      <sz val="10"/>
      <color rgb="FF333333"/>
      <name val="Arial"/>
      <family val="2"/>
    </font>
    <font>
      <i/>
      <sz val="10"/>
      <color rgb="FF808080"/>
      <name val="Arial"/>
      <family val="2"/>
    </font>
    <font>
      <u/>
      <sz val="10"/>
      <color rgb="FF0000EE"/>
      <name val="Arial"/>
      <family val="2"/>
    </font>
    <font>
      <sz val="10"/>
      <color rgb="FF006600"/>
      <name val="Arial"/>
      <family val="2"/>
    </font>
    <font>
      <sz val="10"/>
      <color rgb="FF996600"/>
      <name val="Arial"/>
      <family val="2"/>
    </font>
    <font>
      <sz val="10"/>
      <color rgb="FFCC0000"/>
      <name val="Arial"/>
      <family val="2"/>
    </font>
    <font>
      <b/>
      <sz val="10"/>
      <color rgb="FFFFFFFF"/>
      <name val="Arial"/>
      <family val="2"/>
    </font>
    <font>
      <b/>
      <sz val="10"/>
      <color rgb="FF000000"/>
      <name val="Arial"/>
      <family val="2"/>
    </font>
    <font>
      <sz val="10"/>
      <color rgb="FFFFFFFF"/>
      <name val="Arial"/>
      <family val="2"/>
    </font>
    <font>
      <b/>
      <sz val="10"/>
      <color rgb="FFC9211E"/>
      <name val="Arial"/>
      <family val="2"/>
    </font>
    <font>
      <sz val="10"/>
      <color rgb="FFC9211E"/>
      <name val="Arial"/>
      <family val="2"/>
    </font>
    <font>
      <b/>
      <sz val="15"/>
      <name val="Arial"/>
      <family val="2"/>
    </font>
    <font>
      <sz val="14"/>
      <name val="Arial"/>
      <family val="2"/>
    </font>
    <font>
      <sz val="10"/>
      <color rgb="FFFFFFFF"/>
      <name val="Liberation Sans Narrow"/>
      <family val="2"/>
    </font>
    <font>
      <vertAlign val="superscript"/>
      <sz val="10"/>
      <name val="Arial"/>
      <family val="2"/>
    </font>
    <font>
      <b/>
      <sz val="12"/>
      <name val="Arial"/>
      <family val="2"/>
    </font>
    <font>
      <u/>
      <sz val="10"/>
      <name val="Arial"/>
      <family val="2"/>
    </font>
    <font>
      <b/>
      <sz val="10"/>
      <name val="Arial"/>
      <family val="2"/>
    </font>
    <font>
      <b/>
      <sz val="14"/>
      <color rgb="FFFFFFFF"/>
      <name val="Arial"/>
      <family val="2"/>
    </font>
    <font>
      <b/>
      <u/>
      <sz val="10"/>
      <name val="Arial"/>
      <family val="2"/>
    </font>
    <font>
      <sz val="10"/>
      <name val="Arial"/>
      <family val="2"/>
    </font>
    <font>
      <sz val="9"/>
      <name val="細明體"/>
      <family val="3"/>
      <charset val="136"/>
    </font>
  </fonts>
  <fills count="20">
    <fill>
      <patternFill patternType="none"/>
    </fill>
    <fill>
      <patternFill patternType="gray125"/>
    </fill>
    <fill>
      <patternFill patternType="solid">
        <fgColor rgb="FFFFFFCC"/>
        <bgColor rgb="FFFFFFFF"/>
      </patternFill>
    </fill>
    <fill>
      <patternFill patternType="solid">
        <fgColor rgb="FFCCFFCC"/>
        <bgColor rgb="FFCCFFFF"/>
      </patternFill>
    </fill>
    <fill>
      <patternFill patternType="solid">
        <fgColor rgb="FFFFCCCC"/>
        <bgColor rgb="FFDDDDDD"/>
      </patternFill>
    </fill>
    <fill>
      <patternFill patternType="solid">
        <fgColor rgb="FFCC0000"/>
        <bgColor rgb="FFC9211E"/>
      </patternFill>
    </fill>
    <fill>
      <patternFill patternType="solid">
        <fgColor rgb="FF000000"/>
        <bgColor rgb="FF003300"/>
      </patternFill>
    </fill>
    <fill>
      <patternFill patternType="solid">
        <fgColor rgb="FF808080"/>
        <bgColor rgb="FF999999"/>
      </patternFill>
    </fill>
    <fill>
      <patternFill patternType="solid">
        <fgColor rgb="FFDDDDDD"/>
        <bgColor rgb="FFFFCCCC"/>
      </patternFill>
    </fill>
    <fill>
      <patternFill patternType="solid">
        <fgColor rgb="FF999999"/>
        <bgColor rgb="FF808080"/>
      </patternFill>
    </fill>
    <fill>
      <patternFill patternType="solid">
        <fgColor rgb="FFFFFF99"/>
        <bgColor rgb="FFFFFFCC"/>
      </patternFill>
    </fill>
    <fill>
      <patternFill patternType="solid">
        <fgColor rgb="FF0000FF"/>
        <bgColor rgb="FF0000EE"/>
      </patternFill>
    </fill>
    <fill>
      <patternFill patternType="solid">
        <fgColor rgb="FFFF9999"/>
        <bgColor rgb="FFFF8080"/>
      </patternFill>
    </fill>
    <fill>
      <patternFill patternType="solid">
        <fgColor rgb="FF00CC00"/>
        <bgColor rgb="FF339966"/>
      </patternFill>
    </fill>
    <fill>
      <patternFill patternType="solid">
        <fgColor rgb="FF99FFFF"/>
        <bgColor rgb="FFCCFFFF"/>
      </patternFill>
    </fill>
    <fill>
      <patternFill patternType="solid">
        <fgColor rgb="FFFFFF00"/>
        <bgColor rgb="FFFFFF66"/>
      </patternFill>
    </fill>
    <fill>
      <patternFill patternType="solid">
        <fgColor rgb="FFFFFF66"/>
        <bgColor rgb="FFFFFF99"/>
      </patternFill>
    </fill>
    <fill>
      <patternFill patternType="solid">
        <fgColor rgb="FF92D050"/>
        <bgColor indexed="64"/>
      </patternFill>
    </fill>
    <fill>
      <patternFill patternType="solid">
        <fgColor rgb="FFFFFF99"/>
        <bgColor indexed="64"/>
      </patternFill>
    </fill>
    <fill>
      <patternFill patternType="solid">
        <fgColor rgb="FFFFFF99"/>
        <bgColor rgb="FFFF8080"/>
      </patternFill>
    </fill>
  </fills>
  <borders count="23">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rgb="FF2A6099"/>
      </left>
      <right/>
      <top style="hair">
        <color rgb="FF2A6099"/>
      </top>
      <bottom/>
      <diagonal/>
    </border>
    <border>
      <left/>
      <right/>
      <top style="hair">
        <color rgb="FF2A6099"/>
      </top>
      <bottom/>
      <diagonal/>
    </border>
    <border>
      <left/>
      <right style="hair">
        <color rgb="FF2A6099"/>
      </right>
      <top style="hair">
        <color rgb="FF2A6099"/>
      </top>
      <bottom/>
      <diagonal/>
    </border>
    <border>
      <left style="hair">
        <color rgb="FF2A6099"/>
      </left>
      <right/>
      <top/>
      <bottom/>
      <diagonal/>
    </border>
    <border>
      <left/>
      <right style="hair">
        <color rgb="FF2A6099"/>
      </right>
      <top/>
      <bottom/>
      <diagonal/>
    </border>
    <border>
      <left style="hair">
        <color rgb="FF2A6099"/>
      </left>
      <right/>
      <top/>
      <bottom style="hair">
        <color rgb="FF2A6099"/>
      </bottom>
      <diagonal/>
    </border>
    <border>
      <left/>
      <right/>
      <top/>
      <bottom style="hair">
        <color rgb="FF2A6099"/>
      </bottom>
      <diagonal/>
    </border>
    <border>
      <left/>
      <right style="hair">
        <color rgb="FF2A6099"/>
      </right>
      <top/>
      <bottom style="hair">
        <color rgb="FF2A6099"/>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style="hair">
        <color auto="1"/>
      </top>
      <bottom/>
      <diagonal/>
    </border>
  </borders>
  <cellStyleXfs count="44">
    <xf numFmtId="0" fontId="0" fillId="0" borderId="0"/>
    <xf numFmtId="0" fontId="2" fillId="0" borderId="0" applyBorder="0" applyProtection="0"/>
    <xf numFmtId="0" fontId="3" fillId="0" borderId="0" applyBorder="0" applyProtection="0"/>
    <xf numFmtId="0" fontId="4" fillId="0" borderId="0" applyBorder="0" applyProtection="0"/>
    <xf numFmtId="0" fontId="25" fillId="0" borderId="0" applyBorder="0" applyProtection="0"/>
    <xf numFmtId="0" fontId="5" fillId="2" borderId="1" applyProtection="0"/>
    <xf numFmtId="0" fontId="6" fillId="0" borderId="0" applyBorder="0" applyProtection="0"/>
    <xf numFmtId="0" fontId="7" fillId="0" borderId="0" applyBorder="0" applyProtection="0"/>
    <xf numFmtId="0" fontId="25" fillId="0" borderId="0" applyBorder="0" applyProtection="0"/>
    <xf numFmtId="0" fontId="8" fillId="3" borderId="0" applyBorder="0" applyProtection="0"/>
    <xf numFmtId="0" fontId="9" fillId="2" borderId="0" applyBorder="0" applyProtection="0"/>
    <xf numFmtId="0" fontId="10" fillId="4" borderId="0" applyBorder="0" applyProtection="0"/>
    <xf numFmtId="0" fontId="10" fillId="0" borderId="0" applyBorder="0" applyProtection="0"/>
    <xf numFmtId="0" fontId="11" fillId="5" borderId="0" applyBorder="0" applyProtection="0"/>
    <xf numFmtId="0" fontId="12" fillId="0" borderId="0" applyBorder="0" applyProtection="0"/>
    <xf numFmtId="0" fontId="13" fillId="6" borderId="0" applyBorder="0" applyProtection="0"/>
    <xf numFmtId="0" fontId="13" fillId="7" borderId="0" applyBorder="0" applyProtection="0"/>
    <xf numFmtId="0" fontId="12" fillId="8" borderId="0" applyBorder="0" applyProtection="0"/>
    <xf numFmtId="0" fontId="13" fillId="6" borderId="0" applyBorder="0" applyProtection="0"/>
    <xf numFmtId="0" fontId="12" fillId="0" borderId="0" applyBorder="0" applyProtection="0"/>
    <xf numFmtId="0" fontId="13" fillId="7" borderId="0" applyBorder="0" applyProtection="0"/>
    <xf numFmtId="0" fontId="12" fillId="8" borderId="0" applyBorder="0" applyProtection="0"/>
    <xf numFmtId="0" fontId="10" fillId="4" borderId="0" applyBorder="0" applyProtection="0"/>
    <xf numFmtId="0" fontId="11" fillId="5" borderId="0" applyBorder="0" applyProtection="0"/>
    <xf numFmtId="0" fontId="6" fillId="0" borderId="0" applyBorder="0" applyProtection="0"/>
    <xf numFmtId="0" fontId="8" fillId="3" borderId="0" applyBorder="0" applyProtection="0"/>
    <xf numFmtId="0" fontId="3" fillId="0" borderId="0" applyBorder="0" applyProtection="0"/>
    <xf numFmtId="0" fontId="4" fillId="0" borderId="0" applyBorder="0" applyProtection="0"/>
    <xf numFmtId="0" fontId="2" fillId="0" borderId="0" applyBorder="0" applyProtection="0"/>
    <xf numFmtId="0" fontId="7" fillId="0" borderId="0" applyBorder="0" applyProtection="0"/>
    <xf numFmtId="0" fontId="9" fillId="2" borderId="0" applyBorder="0" applyProtection="0"/>
    <xf numFmtId="0" fontId="5" fillId="2" borderId="1" applyProtection="0"/>
    <xf numFmtId="0" fontId="25" fillId="0" borderId="0" applyBorder="0" applyProtection="0"/>
    <xf numFmtId="0" fontId="25" fillId="0" borderId="0" applyBorder="0" applyProtection="0"/>
    <xf numFmtId="0" fontId="25" fillId="9" borderId="0" applyBorder="0" applyProtection="0"/>
    <xf numFmtId="0" fontId="10" fillId="0" borderId="0" applyBorder="0" applyProtection="0"/>
    <xf numFmtId="0" fontId="25" fillId="9" borderId="0" applyProtection="0"/>
    <xf numFmtId="0" fontId="1" fillId="0" borderId="0" applyBorder="0" applyProtection="0"/>
    <xf numFmtId="0" fontId="1" fillId="0" borderId="0" applyBorder="0" applyProtection="0"/>
    <xf numFmtId="0" fontId="1" fillId="0" borderId="0" applyBorder="0" applyProtection="0"/>
    <xf numFmtId="0" fontId="1" fillId="0" borderId="0" applyBorder="0" applyProtection="0"/>
    <xf numFmtId="0" fontId="1" fillId="9" borderId="0" applyBorder="0" applyProtection="0"/>
    <xf numFmtId="0" fontId="1" fillId="9" borderId="0" applyProtection="0"/>
    <xf numFmtId="9" fontId="1" fillId="0" borderId="0" applyFont="0" applyFill="0" applyBorder="0" applyAlignment="0" applyProtection="0"/>
  </cellStyleXfs>
  <cellXfs count="144">
    <xf numFmtId="0" fontId="0" fillId="0" borderId="0" xfId="0"/>
    <xf numFmtId="0" fontId="0" fillId="10" borderId="0" xfId="0" applyFill="1"/>
    <xf numFmtId="0" fontId="14" fillId="10" borderId="2" xfId="0" applyFont="1" applyFill="1" applyBorder="1"/>
    <xf numFmtId="0" fontId="16" fillId="0" borderId="0" xfId="0" applyFont="1"/>
    <xf numFmtId="0" fontId="17" fillId="0" borderId="0" xfId="0" applyFont="1"/>
    <xf numFmtId="0" fontId="13" fillId="11" borderId="0" xfId="0" applyFont="1" applyFill="1"/>
    <xf numFmtId="0" fontId="0" fillId="12" borderId="0" xfId="0" applyFill="1"/>
    <xf numFmtId="0" fontId="0" fillId="13" borderId="0" xfId="0" applyFill="1"/>
    <xf numFmtId="0" fontId="0" fillId="14" borderId="0" xfId="0" applyFill="1"/>
    <xf numFmtId="0" fontId="0" fillId="15" borderId="0" xfId="0" applyFill="1"/>
    <xf numFmtId="0" fontId="13" fillId="0" borderId="0" xfId="0" applyFont="1"/>
    <xf numFmtId="0" fontId="13" fillId="11" borderId="4" xfId="0" applyFont="1" applyFill="1" applyBorder="1"/>
    <xf numFmtId="0" fontId="18" fillId="11" borderId="4" xfId="0" applyFont="1" applyFill="1" applyBorder="1" applyAlignment="1">
      <alignment wrapText="1"/>
    </xf>
    <xf numFmtId="0" fontId="0" fillId="0" borderId="4" xfId="0" applyBorder="1"/>
    <xf numFmtId="0" fontId="13" fillId="11" borderId="4" xfId="0" applyFont="1" applyFill="1" applyBorder="1" applyAlignment="1">
      <alignment wrapText="1"/>
    </xf>
    <xf numFmtId="0" fontId="0" fillId="0" borderId="4" xfId="0" applyBorder="1" applyAlignment="1">
      <alignment horizontal="center"/>
    </xf>
    <xf numFmtId="0" fontId="0" fillId="12" borderId="4" xfId="0" applyFill="1" applyBorder="1"/>
    <xf numFmtId="0" fontId="0" fillId="12" borderId="4" xfId="0" applyFill="1" applyBorder="1" applyProtection="1">
      <protection locked="0"/>
    </xf>
    <xf numFmtId="0" fontId="0" fillId="0" borderId="4" xfId="0" applyBorder="1" applyAlignment="1">
      <alignment wrapText="1"/>
    </xf>
    <xf numFmtId="0" fontId="0" fillId="0" borderId="0" xfId="0" applyAlignment="1">
      <alignment wrapText="1"/>
    </xf>
    <xf numFmtId="1" fontId="0" fillId="12" borderId="4" xfId="0" applyNumberFormat="1" applyFill="1" applyBorder="1" applyProtection="1">
      <protection locked="0"/>
    </xf>
    <xf numFmtId="0" fontId="1" fillId="0" borderId="4" xfId="0" applyFont="1" applyBorder="1" applyAlignment="1">
      <alignment horizontal="center"/>
    </xf>
    <xf numFmtId="0" fontId="20" fillId="0" borderId="0" xfId="0" applyFont="1"/>
    <xf numFmtId="0" fontId="0" fillId="2" borderId="0" xfId="0" applyFill="1"/>
    <xf numFmtId="0" fontId="0" fillId="0" borderId="0" xfId="0" applyAlignment="1">
      <alignment horizontal="right"/>
    </xf>
    <xf numFmtId="0" fontId="13" fillId="11" borderId="0" xfId="0" applyFont="1" applyFill="1" applyAlignment="1">
      <alignment wrapText="1"/>
    </xf>
    <xf numFmtId="0" fontId="18" fillId="11" borderId="0" xfId="0" applyFont="1" applyFill="1" applyAlignment="1">
      <alignment wrapText="1"/>
    </xf>
    <xf numFmtId="164" fontId="0" fillId="12" borderId="4" xfId="0" applyNumberFormat="1" applyFill="1" applyBorder="1" applyAlignment="1" applyProtection="1">
      <alignment horizontal="center"/>
      <protection locked="0"/>
    </xf>
    <xf numFmtId="10" fontId="1" fillId="0" borderId="4" xfId="0" applyNumberFormat="1" applyFont="1" applyBorder="1" applyAlignment="1">
      <alignment horizontal="center"/>
    </xf>
    <xf numFmtId="1" fontId="0" fillId="12" borderId="4" xfId="0" applyNumberFormat="1" applyFill="1" applyBorder="1" applyAlignment="1" applyProtection="1">
      <alignment horizontal="center"/>
      <protection locked="0"/>
    </xf>
    <xf numFmtId="10" fontId="0" fillId="0" borderId="4" xfId="0" applyNumberFormat="1" applyBorder="1" applyAlignment="1">
      <alignment horizontal="center"/>
    </xf>
    <xf numFmtId="0" fontId="0" fillId="10" borderId="4" xfId="0" applyFill="1" applyBorder="1"/>
    <xf numFmtId="164" fontId="0" fillId="13" borderId="4" xfId="0" applyNumberFormat="1" applyFill="1" applyBorder="1" applyAlignment="1">
      <alignment horizontal="center"/>
    </xf>
    <xf numFmtId="0" fontId="0" fillId="10" borderId="4" xfId="0" applyFill="1" applyBorder="1" applyAlignment="1">
      <alignment wrapText="1"/>
    </xf>
    <xf numFmtId="11" fontId="0" fillId="0" borderId="4" xfId="0" applyNumberFormat="1" applyBorder="1"/>
    <xf numFmtId="2" fontId="0" fillId="10" borderId="4" xfId="0" applyNumberFormat="1" applyFill="1" applyBorder="1" applyAlignment="1">
      <alignment horizontal="center"/>
    </xf>
    <xf numFmtId="0" fontId="0" fillId="0" borderId="0" xfId="0" applyAlignment="1">
      <alignment horizontal="center"/>
    </xf>
    <xf numFmtId="0" fontId="0" fillId="13" borderId="4" xfId="0" applyFill="1" applyBorder="1" applyAlignment="1">
      <alignment wrapText="1"/>
    </xf>
    <xf numFmtId="11" fontId="0" fillId="0" borderId="0" xfId="0" applyNumberFormat="1"/>
    <xf numFmtId="10" fontId="0" fillId="0" borderId="0" xfId="0" applyNumberFormat="1" applyAlignment="1">
      <alignment horizontal="center"/>
    </xf>
    <xf numFmtId="11" fontId="0" fillId="13" borderId="4" xfId="0" applyNumberFormat="1" applyFill="1" applyBorder="1" applyAlignment="1">
      <alignment horizontal="center"/>
    </xf>
    <xf numFmtId="10" fontId="0" fillId="13" borderId="4" xfId="0" applyNumberFormat="1" applyFill="1" applyBorder="1" applyAlignment="1">
      <alignment horizontal="center"/>
    </xf>
    <xf numFmtId="11" fontId="0" fillId="0" borderId="4" xfId="0" applyNumberFormat="1" applyBorder="1" applyAlignment="1">
      <alignment horizontal="center"/>
    </xf>
    <xf numFmtId="1" fontId="0" fillId="0" borderId="4" xfId="0" applyNumberFormat="1" applyBorder="1" applyAlignment="1">
      <alignment horizontal="center"/>
    </xf>
    <xf numFmtId="0" fontId="0" fillId="14" borderId="4" xfId="0" applyFill="1" applyBorder="1"/>
    <xf numFmtId="1" fontId="0" fillId="14" borderId="4" xfId="0" applyNumberFormat="1" applyFill="1" applyBorder="1" applyAlignment="1">
      <alignment horizontal="center"/>
    </xf>
    <xf numFmtId="0" fontId="0" fillId="0" borderId="4" xfId="0" applyBorder="1" applyAlignment="1">
      <alignment horizontal="center" wrapText="1"/>
    </xf>
    <xf numFmtId="165" fontId="0" fillId="10" borderId="4" xfId="0" applyNumberFormat="1" applyFill="1" applyBorder="1" applyAlignment="1">
      <alignment horizontal="center"/>
    </xf>
    <xf numFmtId="164" fontId="0" fillId="10" borderId="4" xfId="0" applyNumberFormat="1" applyFill="1" applyBorder="1" applyAlignment="1">
      <alignment horizontal="center"/>
    </xf>
    <xf numFmtId="11" fontId="0" fillId="13" borderId="0" xfId="0" applyNumberFormat="1" applyFill="1"/>
    <xf numFmtId="0" fontId="0" fillId="13" borderId="0" xfId="0" applyFill="1" applyAlignment="1">
      <alignment horizontal="center"/>
    </xf>
    <xf numFmtId="2" fontId="0" fillId="12" borderId="4" xfId="0" applyNumberFormat="1" applyFill="1" applyBorder="1" applyAlignment="1" applyProtection="1">
      <alignment horizontal="center"/>
      <protection locked="0"/>
    </xf>
    <xf numFmtId="0" fontId="0" fillId="13" borderId="0" xfId="0" applyFill="1" applyAlignment="1">
      <alignment wrapText="1"/>
    </xf>
    <xf numFmtId="0" fontId="0" fillId="12" borderId="0" xfId="0" applyFill="1" applyAlignment="1">
      <alignment wrapText="1"/>
    </xf>
    <xf numFmtId="10" fontId="0" fillId="12" borderId="4" xfId="0" applyNumberFormat="1" applyFill="1" applyBorder="1" applyAlignment="1" applyProtection="1">
      <alignment horizontal="center" wrapText="1"/>
      <protection locked="0"/>
    </xf>
    <xf numFmtId="0" fontId="0" fillId="15" borderId="4" xfId="0" applyFill="1" applyBorder="1"/>
    <xf numFmtId="165" fontId="0" fillId="13" borderId="4" xfId="0" applyNumberFormat="1" applyFill="1" applyBorder="1" applyAlignment="1">
      <alignment horizontal="center" wrapText="1"/>
    </xf>
    <xf numFmtId="0" fontId="0" fillId="13" borderId="4" xfId="0" applyFill="1" applyBorder="1"/>
    <xf numFmtId="0" fontId="0" fillId="12" borderId="4" xfId="0" applyFill="1" applyBorder="1" applyAlignment="1">
      <alignment wrapText="1"/>
    </xf>
    <xf numFmtId="2" fontId="0" fillId="0" borderId="0" xfId="0" applyNumberFormat="1"/>
    <xf numFmtId="0" fontId="0" fillId="0" borderId="0" xfId="0" applyProtection="1">
      <protection hidden="1"/>
    </xf>
    <xf numFmtId="2" fontId="0" fillId="13" borderId="4" xfId="0" applyNumberFormat="1" applyFill="1" applyBorder="1" applyAlignment="1">
      <alignment horizontal="center"/>
    </xf>
    <xf numFmtId="0" fontId="1" fillId="0" borderId="4" xfId="0" applyFont="1" applyBorder="1" applyAlignment="1">
      <alignment horizontal="center" wrapText="1"/>
    </xf>
    <xf numFmtId="11" fontId="0" fillId="0" borderId="0" xfId="0" applyNumberFormat="1" applyProtection="1">
      <protection hidden="1"/>
    </xf>
    <xf numFmtId="49" fontId="0" fillId="12" borderId="4" xfId="0" applyNumberFormat="1" applyFill="1" applyBorder="1" applyAlignment="1" applyProtection="1">
      <alignment horizontal="center"/>
      <protection locked="0"/>
    </xf>
    <xf numFmtId="10" fontId="19" fillId="0" borderId="4" xfId="0" applyNumberFormat="1" applyFont="1" applyBorder="1" applyAlignment="1">
      <alignment horizontal="center"/>
    </xf>
    <xf numFmtId="0" fontId="19" fillId="0" borderId="4" xfId="0" applyFont="1" applyBorder="1" applyAlignment="1">
      <alignment horizontal="center"/>
    </xf>
    <xf numFmtId="0" fontId="0" fillId="13" borderId="0" xfId="0" applyFill="1" applyAlignment="1">
      <alignment vertical="top"/>
    </xf>
    <xf numFmtId="0" fontId="0" fillId="0" borderId="0" xfId="0" applyProtection="1">
      <protection locked="0"/>
    </xf>
    <xf numFmtId="0" fontId="0" fillId="16" borderId="0" xfId="0" applyFill="1" applyAlignment="1">
      <alignment vertical="top"/>
    </xf>
    <xf numFmtId="0" fontId="0" fillId="16" borderId="4" xfId="0" applyFill="1" applyBorder="1" applyAlignment="1">
      <alignment vertical="top"/>
    </xf>
    <xf numFmtId="0" fontId="0" fillId="16" borderId="0" xfId="0" applyFill="1" applyAlignment="1">
      <alignment vertical="top" wrapText="1"/>
    </xf>
    <xf numFmtId="0" fontId="23" fillId="11" borderId="0" xfId="0" applyFont="1" applyFill="1"/>
    <xf numFmtId="0" fontId="0" fillId="11" borderId="0" xfId="0" applyFill="1"/>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12" borderId="4" xfId="0" applyFill="1" applyBorder="1" applyAlignment="1" applyProtection="1">
      <alignment horizontal="center"/>
      <protection locked="0"/>
    </xf>
    <xf numFmtId="165" fontId="0" fillId="12" borderId="4" xfId="0" applyNumberFormat="1" applyFill="1" applyBorder="1" applyAlignment="1" applyProtection="1">
      <alignment horizontal="center"/>
      <protection locked="0"/>
    </xf>
    <xf numFmtId="166" fontId="0" fillId="10" borderId="4" xfId="0" applyNumberFormat="1" applyFill="1" applyBorder="1"/>
    <xf numFmtId="0" fontId="0" fillId="10" borderId="4" xfId="0" applyFill="1" applyBorder="1" applyAlignment="1">
      <alignment horizontal="center"/>
    </xf>
    <xf numFmtId="0" fontId="0" fillId="0" borderId="8" xfId="0" applyBorder="1" applyProtection="1">
      <protection locked="0"/>
    </xf>
    <xf numFmtId="166" fontId="0" fillId="0" borderId="0" xfId="0" applyNumberFormat="1" applyProtection="1">
      <protection locked="0"/>
    </xf>
    <xf numFmtId="0" fontId="0" fillId="0" borderId="9" xfId="0" applyBorder="1" applyProtection="1">
      <protection locked="0"/>
    </xf>
    <xf numFmtId="165" fontId="0" fillId="0" borderId="4" xfId="0" applyNumberFormat="1" applyBorder="1" applyAlignment="1">
      <alignment horizontal="center"/>
    </xf>
    <xf numFmtId="2" fontId="0" fillId="0" borderId="4" xfId="0" applyNumberFormat="1" applyBorder="1" applyAlignment="1">
      <alignment horizontal="center"/>
    </xf>
    <xf numFmtId="166" fontId="0" fillId="0" borderId="0" xfId="0" applyNumberFormat="1"/>
    <xf numFmtId="0" fontId="0" fillId="13" borderId="0" xfId="0" applyFill="1" applyAlignment="1">
      <alignment horizontal="right"/>
    </xf>
    <xf numFmtId="2" fontId="0" fillId="8" borderId="0" xfId="0" applyNumberFormat="1" applyFill="1"/>
    <xf numFmtId="0" fontId="0" fillId="8" borderId="0" xfId="0" applyFill="1"/>
    <xf numFmtId="0" fontId="0" fillId="16" borderId="0" xfId="0" applyFill="1"/>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166" fontId="0" fillId="0" borderId="0" xfId="0" applyNumberFormat="1" applyAlignment="1">
      <alignment horizontal="center"/>
    </xf>
    <xf numFmtId="166" fontId="0" fillId="0" borderId="0" xfId="0" applyNumberFormat="1" applyProtection="1">
      <protection hidden="1"/>
    </xf>
    <xf numFmtId="0" fontId="1" fillId="0" borderId="0" xfId="0" applyFont="1" applyAlignment="1">
      <alignment horizontal="center"/>
    </xf>
    <xf numFmtId="2" fontId="0" fillId="14" borderId="4" xfId="0" applyNumberFormat="1" applyFill="1" applyBorder="1" applyAlignment="1">
      <alignment horizontal="center"/>
    </xf>
    <xf numFmtId="165" fontId="0" fillId="0" borderId="0" xfId="0" applyNumberFormat="1" applyAlignment="1">
      <alignment horizontal="center"/>
    </xf>
    <xf numFmtId="4" fontId="13" fillId="11" borderId="4" xfId="0" applyNumberFormat="1" applyFont="1" applyFill="1" applyBorder="1" applyAlignment="1">
      <alignment horizontal="center" wrapText="1"/>
    </xf>
    <xf numFmtId="4" fontId="0" fillId="0" borderId="4" xfId="0" applyNumberFormat="1" applyBorder="1" applyAlignment="1">
      <alignment horizontal="center"/>
    </xf>
    <xf numFmtId="2" fontId="0" fillId="0" borderId="4" xfId="0" applyNumberFormat="1" applyBorder="1"/>
    <xf numFmtId="2" fontId="0" fillId="15" borderId="4" xfId="0" applyNumberFormat="1" applyFill="1" applyBorder="1"/>
    <xf numFmtId="0" fontId="0" fillId="17" borderId="0" xfId="0" applyFill="1"/>
    <xf numFmtId="165" fontId="0" fillId="0" borderId="0" xfId="0" applyNumberFormat="1"/>
    <xf numFmtId="0" fontId="13" fillId="11" borderId="4" xfId="0" applyFont="1" applyFill="1" applyBorder="1" applyAlignment="1">
      <alignment vertical="center"/>
    </xf>
    <xf numFmtId="2" fontId="0" fillId="0" borderId="4" xfId="0" applyNumberFormat="1" applyBorder="1" applyAlignment="1" applyProtection="1">
      <alignment horizontal="center"/>
      <protection locked="0"/>
    </xf>
    <xf numFmtId="0" fontId="22" fillId="0" borderId="4" xfId="0" applyFont="1" applyBorder="1"/>
    <xf numFmtId="0" fontId="13" fillId="11" borderId="0" xfId="0" applyFont="1" applyFill="1" applyAlignment="1">
      <alignment horizontal="center"/>
    </xf>
    <xf numFmtId="0" fontId="13" fillId="11" borderId="0" xfId="0" applyFont="1" applyFill="1" applyAlignment="1">
      <alignment horizontal="center" wrapText="1"/>
    </xf>
    <xf numFmtId="0" fontId="0" fillId="13" borderId="0" xfId="0" applyFill="1" applyAlignment="1">
      <alignment vertical="center"/>
    </xf>
    <xf numFmtId="0" fontId="22" fillId="0" borderId="0" xfId="0" applyFont="1"/>
    <xf numFmtId="0" fontId="0" fillId="19" borderId="4" xfId="0" applyFill="1" applyBorder="1" applyAlignment="1">
      <alignment wrapText="1"/>
    </xf>
    <xf numFmtId="2" fontId="0" fillId="19" borderId="4" xfId="0" applyNumberFormat="1" applyFill="1" applyBorder="1" applyAlignment="1">
      <alignment horizontal="center"/>
    </xf>
    <xf numFmtId="0" fontId="0" fillId="18" borderId="4" xfId="0" applyFill="1" applyBorder="1" applyAlignment="1">
      <alignment wrapText="1"/>
    </xf>
    <xf numFmtId="2" fontId="0" fillId="18" borderId="4" xfId="0" applyNumberFormat="1" applyFill="1" applyBorder="1" applyAlignment="1">
      <alignment horizontal="center" wrapText="1"/>
    </xf>
    <xf numFmtId="2" fontId="0" fillId="10" borderId="4" xfId="0" applyNumberFormat="1" applyFill="1" applyBorder="1" applyAlignment="1">
      <alignment horizontal="center" wrapText="1"/>
    </xf>
    <xf numFmtId="2" fontId="0" fillId="0" borderId="4" xfId="0" applyNumberFormat="1" applyBorder="1" applyAlignment="1">
      <alignment horizontal="center" wrapText="1"/>
    </xf>
    <xf numFmtId="9" fontId="0" fillId="12" borderId="4" xfId="43" applyFont="1" applyFill="1" applyBorder="1" applyAlignment="1" applyProtection="1">
      <alignment horizontal="center"/>
      <protection locked="0"/>
    </xf>
    <xf numFmtId="2" fontId="0" fillId="12" borderId="4" xfId="0" applyNumberFormat="1" applyFill="1" applyBorder="1" applyAlignment="1">
      <alignment horizontal="left"/>
    </xf>
    <xf numFmtId="0" fontId="15" fillId="10" borderId="3" xfId="0" applyFont="1" applyFill="1" applyBorder="1" applyAlignment="1">
      <alignment vertical="center" wrapText="1"/>
    </xf>
    <xf numFmtId="164" fontId="0" fillId="10" borderId="4" xfId="0" applyNumberFormat="1" applyFill="1" applyBorder="1" applyAlignment="1">
      <alignment horizontal="center" wrapText="1"/>
    </xf>
    <xf numFmtId="0" fontId="22" fillId="0" borderId="17" xfId="0" applyFont="1" applyBorder="1"/>
    <xf numFmtId="0" fontId="0" fillId="0" borderId="17" xfId="0" applyBorder="1"/>
    <xf numFmtId="2" fontId="0" fillId="0" borderId="0" xfId="0" applyNumberFormat="1" applyAlignment="1">
      <alignment horizontal="center"/>
    </xf>
    <xf numFmtId="0" fontId="0" fillId="13" borderId="13" xfId="0" applyFill="1" applyBorder="1" applyAlignment="1">
      <alignment horizontal="left" wrapText="1"/>
    </xf>
    <xf numFmtId="0" fontId="0" fillId="13" borderId="14" xfId="0" applyFill="1" applyBorder="1" applyAlignment="1">
      <alignment horizontal="left" wrapText="1"/>
    </xf>
    <xf numFmtId="0" fontId="0" fillId="13" borderId="15" xfId="0" applyFill="1" applyBorder="1" applyAlignment="1">
      <alignment horizontal="left" wrapText="1"/>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13" borderId="19" xfId="0" applyFill="1" applyBorder="1" applyAlignment="1">
      <alignment vertical="center" wrapText="1"/>
    </xf>
    <xf numFmtId="0" fontId="0" fillId="13" borderId="20" xfId="0" applyFill="1" applyBorder="1" applyAlignment="1">
      <alignment vertical="center" wrapText="1"/>
    </xf>
    <xf numFmtId="0" fontId="0" fillId="13" borderId="21" xfId="0" applyFill="1" applyBorder="1" applyAlignment="1">
      <alignment vertical="center" wrapText="1"/>
    </xf>
    <xf numFmtId="0" fontId="0" fillId="0" borderId="22" xfId="0" applyBorder="1" applyAlignment="1">
      <alignment vertical="center" wrapText="1"/>
    </xf>
    <xf numFmtId="0" fontId="0" fillId="0" borderId="0" xfId="0" applyAlignment="1">
      <alignment vertical="center" wrapText="1"/>
    </xf>
    <xf numFmtId="0" fontId="0" fillId="16" borderId="4" xfId="0" applyFill="1" applyBorder="1" applyAlignment="1">
      <alignment vertical="top" wrapText="1"/>
    </xf>
    <xf numFmtId="0" fontId="22" fillId="16" borderId="0" xfId="0" applyFont="1" applyFill="1" applyAlignment="1">
      <alignment horizontal="left" vertical="center"/>
    </xf>
    <xf numFmtId="0" fontId="0" fillId="16" borderId="0" xfId="0" applyFill="1" applyAlignment="1">
      <alignment wrapText="1"/>
    </xf>
    <xf numFmtId="0" fontId="0" fillId="16" borderId="0" xfId="0" applyFill="1"/>
    <xf numFmtId="0" fontId="0" fillId="13" borderId="0" xfId="0" applyFill="1" applyAlignment="1">
      <alignment horizontal="left" vertical="center" wrapText="1"/>
    </xf>
  </cellXfs>
  <cellStyles count="44">
    <cellStyle name="Accent" xfId="14" xr:uid="{00000000-0005-0000-0000-000013000000}"/>
    <cellStyle name="Accent 1" xfId="15" xr:uid="{00000000-0005-0000-0000-000014000000}"/>
    <cellStyle name="Accent 1 17" xfId="18" xr:uid="{00000000-0005-0000-0000-000017000000}"/>
    <cellStyle name="Accent 16" xfId="19" xr:uid="{00000000-0005-0000-0000-000018000000}"/>
    <cellStyle name="Accent 2" xfId="16" xr:uid="{00000000-0005-0000-0000-000015000000}"/>
    <cellStyle name="Accent 2 18" xfId="20" xr:uid="{00000000-0005-0000-0000-000019000000}"/>
    <cellStyle name="Accent 3" xfId="17" xr:uid="{00000000-0005-0000-0000-000016000000}"/>
    <cellStyle name="Accent 3 19" xfId="21" xr:uid="{00000000-0005-0000-0000-00001A000000}"/>
    <cellStyle name="Bad" xfId="11" xr:uid="{00000000-0005-0000-0000-000010000000}"/>
    <cellStyle name="Bad 13" xfId="22" xr:uid="{00000000-0005-0000-0000-00001B000000}"/>
    <cellStyle name="Error" xfId="13" xr:uid="{00000000-0005-0000-0000-000012000000}"/>
    <cellStyle name="Error 15" xfId="23" xr:uid="{00000000-0005-0000-0000-00001C000000}"/>
    <cellStyle name="Footnote" xfId="6" xr:uid="{00000000-0005-0000-0000-00000B000000}"/>
    <cellStyle name="Footnote 8" xfId="24" xr:uid="{00000000-0005-0000-0000-00001D000000}"/>
    <cellStyle name="Good" xfId="9" xr:uid="{00000000-0005-0000-0000-00000E000000}"/>
    <cellStyle name="Good 11" xfId="25" xr:uid="{00000000-0005-0000-0000-00001E000000}"/>
    <cellStyle name="Heading" xfId="1" xr:uid="{00000000-0005-0000-0000-000006000000}"/>
    <cellStyle name="Heading 1" xfId="2" xr:uid="{00000000-0005-0000-0000-000007000000}"/>
    <cellStyle name="Heading 1 4" xfId="26" xr:uid="{00000000-0005-0000-0000-00001F000000}"/>
    <cellStyle name="Heading 2" xfId="3" xr:uid="{00000000-0005-0000-0000-000008000000}"/>
    <cellStyle name="Heading 2 5" xfId="27" xr:uid="{00000000-0005-0000-0000-000020000000}"/>
    <cellStyle name="Heading 3" xfId="28" xr:uid="{00000000-0005-0000-0000-000021000000}"/>
    <cellStyle name="Hyperlink" xfId="7" xr:uid="{00000000-0005-0000-0000-00000C000000}"/>
    <cellStyle name="Hyperlink 9" xfId="29" xr:uid="{00000000-0005-0000-0000-000022000000}"/>
    <cellStyle name="Neutral" xfId="10" xr:uid="{00000000-0005-0000-0000-00000F000000}"/>
    <cellStyle name="Neutral 12" xfId="30" xr:uid="{00000000-0005-0000-0000-000023000000}"/>
    <cellStyle name="Normal" xfId="0" builtinId="0"/>
    <cellStyle name="Note" xfId="5" xr:uid="{00000000-0005-0000-0000-00000A000000}"/>
    <cellStyle name="Note 7" xfId="31" xr:uid="{00000000-0005-0000-0000-000024000000}"/>
    <cellStyle name="Percent" xfId="43" builtinId="5"/>
    <cellStyle name="Status" xfId="8" xr:uid="{00000000-0005-0000-0000-00000D000000}"/>
    <cellStyle name="Status 10" xfId="32" xr:uid="{00000000-0005-0000-0000-000025000000}"/>
    <cellStyle name="Status 10 2" xfId="39" xr:uid="{00000000-0005-0000-0000-000025000000}"/>
    <cellStyle name="Status 2" xfId="38" xr:uid="{00000000-0005-0000-0000-00000D000000}"/>
    <cellStyle name="Text" xfId="4" xr:uid="{00000000-0005-0000-0000-000009000000}"/>
    <cellStyle name="Text 2" xfId="37" xr:uid="{00000000-0005-0000-0000-000009000000}"/>
    <cellStyle name="Text 6" xfId="33" xr:uid="{00000000-0005-0000-0000-000026000000}"/>
    <cellStyle name="Text 6 2" xfId="40" xr:uid="{00000000-0005-0000-0000-000026000000}"/>
    <cellStyle name="Untitled1" xfId="34" xr:uid="{00000000-0005-0000-0000-000027000000}"/>
    <cellStyle name="Untitled1 2" xfId="41" xr:uid="{00000000-0005-0000-0000-000027000000}"/>
    <cellStyle name="Untitled2" xfId="36" xr:uid="{00000000-0005-0000-0000-000029000000}"/>
    <cellStyle name="Untitled2 2" xfId="42" xr:uid="{00000000-0005-0000-0000-000029000000}"/>
    <cellStyle name="Warning" xfId="12" xr:uid="{00000000-0005-0000-0000-000011000000}"/>
    <cellStyle name="Warning 14" xfId="35" xr:uid="{00000000-0005-0000-0000-000028000000}"/>
  </cellStyles>
  <dxfs count="27">
    <dxf>
      <font>
        <b val="0"/>
        <i val="0"/>
        <sz val="10"/>
        <color rgb="FFCC0000"/>
        <name val="Arial"/>
        <family val="2"/>
      </font>
      <fill>
        <patternFill>
          <bgColor rgb="FFFFCCCC"/>
        </patternFill>
      </fill>
    </dxf>
    <dxf>
      <font>
        <b val="0"/>
        <i val="0"/>
        <sz val="10"/>
        <color rgb="FFCC0000"/>
        <name val="Arial"/>
        <family val="2"/>
      </font>
      <fill>
        <patternFill>
          <bgColor rgb="FFFFCCCC"/>
        </patternFill>
      </fill>
    </dxf>
    <dxf>
      <font>
        <b val="0"/>
        <i val="0"/>
        <sz val="10"/>
        <color rgb="FFCC0000"/>
        <name val="Arial"/>
        <family val="2"/>
      </font>
      <fill>
        <patternFill>
          <bgColor rgb="FFFFCCCC"/>
        </patternFill>
      </fill>
    </dxf>
    <dxf>
      <font>
        <b val="0"/>
        <i val="0"/>
        <sz val="10"/>
        <color rgb="FFCC0000"/>
        <name val="Arial"/>
        <family val="2"/>
      </font>
      <fill>
        <patternFill>
          <bgColor rgb="FFFFCCCC"/>
        </patternFill>
      </fill>
    </dxf>
    <dxf>
      <font>
        <b val="0"/>
        <i val="0"/>
        <sz val="10"/>
        <color rgb="FFCC0000"/>
        <name val="Arial"/>
        <family val="2"/>
      </font>
      <fill>
        <patternFill>
          <bgColor rgb="FFFFCCCC"/>
        </patternFill>
      </fill>
    </dxf>
    <dxf>
      <font>
        <b val="0"/>
        <i val="0"/>
        <sz val="10"/>
        <color rgb="FFCC0000"/>
        <name val="Arial"/>
        <family val="2"/>
      </font>
      <fill>
        <patternFill>
          <bgColor rgb="FFFFCCCC"/>
        </patternFill>
      </fill>
    </dxf>
    <dxf>
      <font>
        <b val="0"/>
        <i val="0"/>
        <sz val="10"/>
        <color rgb="FF333333"/>
        <name val="Arial"/>
        <family val="2"/>
      </font>
      <fill>
        <patternFill>
          <bgColor rgb="FFFFFFCC"/>
        </patternFill>
      </fill>
      <border diagonalUp="0" diagonalDown="0">
        <left style="thin">
          <color auto="1"/>
        </left>
        <right style="thin">
          <color auto="1"/>
        </right>
        <top style="thin">
          <color auto="1"/>
        </top>
        <bottom style="thin">
          <color auto="1"/>
        </bottom>
      </border>
    </dxf>
    <dxf>
      <font>
        <b val="0"/>
        <i val="0"/>
        <sz val="10"/>
        <color rgb="FFCC0000"/>
        <name val="Arial"/>
        <family val="2"/>
      </font>
      <fill>
        <patternFill>
          <bgColor rgb="FFFFCCCC"/>
        </patternFill>
      </fill>
    </dxf>
    <dxf>
      <font>
        <b val="0"/>
        <i val="0"/>
        <sz val="10"/>
        <color rgb="FFCC0000"/>
        <name val="Arial"/>
        <family val="2"/>
      </font>
      <fill>
        <patternFill>
          <bgColor rgb="FFFFCCCC"/>
        </patternFill>
      </fill>
    </dxf>
    <dxf>
      <font>
        <b val="0"/>
        <i val="0"/>
        <sz val="10"/>
        <color rgb="FFCC0000"/>
        <name val="Arial"/>
        <family val="2"/>
      </font>
      <fill>
        <patternFill>
          <bgColor rgb="FFFFCCCC"/>
        </patternFill>
      </fill>
    </dxf>
    <dxf>
      <font>
        <b/>
        <i val="0"/>
        <strike val="0"/>
        <outline val="0"/>
        <shadow val="0"/>
        <u val="none"/>
        <sz val="10"/>
        <color rgb="FFFFFFFF"/>
        <name val="Arial"/>
        <family val="2"/>
      </font>
      <numFmt numFmtId="0" formatCode="General"/>
      <fill>
        <patternFill>
          <bgColor rgb="FFCC0000"/>
        </patternFill>
      </fill>
    </dxf>
    <dxf>
      <font>
        <b/>
        <i val="0"/>
        <sz val="10"/>
        <color rgb="FFFFFFFF"/>
        <name val="Arial"/>
        <family val="2"/>
      </font>
      <fill>
        <patternFill>
          <bgColor rgb="FFCC0000"/>
        </patternFill>
      </fill>
    </dxf>
    <dxf>
      <font>
        <b val="0"/>
        <i val="0"/>
        <sz val="10"/>
        <color rgb="FFCC0000"/>
        <name val="Arial"/>
        <family val="2"/>
      </font>
      <fill>
        <patternFill>
          <bgColor rgb="FFFFCCCC"/>
        </patternFill>
      </fill>
    </dxf>
    <dxf>
      <font>
        <b val="0"/>
        <i val="0"/>
        <sz val="10"/>
        <color rgb="FFCC0000"/>
        <name val="Arial"/>
        <family val="2"/>
      </font>
      <fill>
        <patternFill>
          <bgColor rgb="FFFFCCCC"/>
        </patternFill>
      </fill>
    </dxf>
    <dxf>
      <font>
        <b val="0"/>
        <i val="0"/>
        <sz val="10"/>
        <color rgb="FFCC0000"/>
        <name val="Arial"/>
        <family val="2"/>
      </font>
      <fill>
        <patternFill>
          <bgColor rgb="FFFFCCCC"/>
        </patternFill>
      </fill>
    </dxf>
    <dxf>
      <font>
        <b val="0"/>
        <i val="0"/>
        <sz val="10"/>
        <color rgb="FFCC0000"/>
        <name val="Arial"/>
        <family val="2"/>
      </font>
      <fill>
        <patternFill>
          <bgColor rgb="FFFFCCCC"/>
        </patternFill>
      </fill>
    </dxf>
    <dxf>
      <font>
        <color rgb="FF9C0006"/>
      </font>
      <fill>
        <patternFill>
          <bgColor rgb="FFFFC7CE"/>
        </patternFill>
      </fill>
    </dxf>
    <dxf>
      <font>
        <color rgb="FF9C0006"/>
      </font>
      <fill>
        <patternFill>
          <bgColor rgb="FFFFC7CE"/>
        </patternFill>
      </fill>
    </dxf>
    <dxf>
      <font>
        <name val="Arial"/>
        <family val="2"/>
      </font>
      <fill>
        <patternFill>
          <bgColor rgb="FF999999"/>
        </patternFill>
      </fill>
    </dxf>
    <dxf>
      <font>
        <name val="Arial"/>
        <family val="2"/>
      </font>
      <fill>
        <patternFill>
          <bgColor rgb="FF999999"/>
        </patternFill>
      </fill>
    </dxf>
    <dxf>
      <font>
        <name val="Arial"/>
        <family val="2"/>
      </font>
      <fill>
        <patternFill>
          <bgColor rgb="FF999999"/>
        </patternFill>
      </fill>
    </dxf>
    <dxf>
      <font>
        <b/>
        <i val="0"/>
        <sz val="10"/>
        <color rgb="FF000000"/>
        <name val="Arial"/>
        <family val="2"/>
      </font>
    </dxf>
    <dxf>
      <font>
        <name val="Arial"/>
        <family val="2"/>
      </font>
      <fill>
        <patternFill>
          <bgColor rgb="FF999999"/>
        </patternFill>
      </fill>
    </dxf>
    <dxf>
      <font>
        <b/>
        <i val="0"/>
        <sz val="10"/>
        <color rgb="FFFFFFFF"/>
        <name val="Arial"/>
        <family val="2"/>
      </font>
      <fill>
        <patternFill>
          <bgColor rgb="FFCC0000"/>
        </patternFill>
      </fill>
    </dxf>
    <dxf>
      <font>
        <b/>
        <i val="0"/>
        <sz val="10"/>
        <color rgb="FFFFFFFF"/>
        <name val="Arial"/>
        <family val="2"/>
      </font>
      <fill>
        <patternFill>
          <bgColor rgb="FFCC0000"/>
        </patternFill>
      </fill>
    </dxf>
    <dxf>
      <font>
        <b/>
        <i val="0"/>
        <sz val="10"/>
        <color rgb="FFFFFFFF"/>
        <name val="Arial"/>
        <family val="2"/>
      </font>
      <fill>
        <patternFill>
          <bgColor rgb="FFCC0000"/>
        </patternFill>
      </fill>
    </dxf>
    <dxf>
      <font>
        <b val="0"/>
        <i val="0"/>
        <sz val="10"/>
        <color rgb="FFCC0000"/>
        <name val="Arial"/>
        <family val="2"/>
      </font>
      <fill>
        <patternFill>
          <bgColor rgb="FFFFCCCC"/>
        </patternFill>
      </fill>
    </dxf>
  </dxfs>
  <tableStyles count="0" defaultTableStyle="TableStyleMedium2" defaultPivotStyle="PivotStyleLight16"/>
  <colors>
    <indexedColors>
      <rgbColor rgb="FF000000"/>
      <rgbColor rgb="FFFFFFFF"/>
      <rgbColor rgb="FFCC0000"/>
      <rgbColor rgb="FF00CC00"/>
      <rgbColor rgb="FF0000FF"/>
      <rgbColor rgb="FFFFFF00"/>
      <rgbColor rgb="FFFF00CC"/>
      <rgbColor rgb="FF00FFFF"/>
      <rgbColor rgb="FF800000"/>
      <rgbColor rgb="FF006600"/>
      <rgbColor rgb="FF000080"/>
      <rgbColor rgb="FF996600"/>
      <rgbColor rgb="FF800080"/>
      <rgbColor rgb="FF008080"/>
      <rgbColor rgb="FFB3B3B3"/>
      <rgbColor rgb="FF808080"/>
      <rgbColor rgb="FF9999FF"/>
      <rgbColor rgb="FF993366"/>
      <rgbColor rgb="FFFFFFCC"/>
      <rgbColor rgb="FF99FFFF"/>
      <rgbColor rgb="FF660066"/>
      <rgbColor rgb="FFFF8080"/>
      <rgbColor rgb="FF2A6099"/>
      <rgbColor rgb="FFDDDDDD"/>
      <rgbColor rgb="FF000080"/>
      <rgbColor rgb="FFFF00FF"/>
      <rgbColor rgb="FFFFFF66"/>
      <rgbColor rgb="FF00FFFF"/>
      <rgbColor rgb="FF800080"/>
      <rgbColor rgb="FF800000"/>
      <rgbColor rgb="FF008080"/>
      <rgbColor rgb="FF0000EE"/>
      <rgbColor rgb="FF00CCFF"/>
      <rgbColor rgb="FFCCFFFF"/>
      <rgbColor rgb="FFCCFFCC"/>
      <rgbColor rgb="FFFFFF99"/>
      <rgbColor rgb="FF99CCFF"/>
      <rgbColor rgb="FFFF9999"/>
      <rgbColor rgb="FFCC99FF"/>
      <rgbColor rgb="FFFFCCCC"/>
      <rgbColor rgb="FF3366FF"/>
      <rgbColor rgb="FF33CCCC"/>
      <rgbColor rgb="FF99CC00"/>
      <rgbColor rgb="FFFFCC00"/>
      <rgbColor rgb="FFFF9900"/>
      <rgbColor rgb="FFFF420E"/>
      <rgbColor rgb="FF666699"/>
      <rgbColor rgb="FF999999"/>
      <rgbColor rgb="FF004586"/>
      <rgbColor rgb="FF339966"/>
      <rgbColor rgb="FF003300"/>
      <rgbColor rgb="FF333300"/>
      <rgbColor rgb="FFC9211E"/>
      <rgbColor rgb="FF993366"/>
      <rgbColor rgb="FF3333FF"/>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lineChart>
        <c:grouping val="standard"/>
        <c:varyColors val="0"/>
        <c:ser>
          <c:idx val="0"/>
          <c:order val="0"/>
          <c:tx>
            <c:strRef>
              <c:f>'HIDDEN CALCULATIONS'!$I$1</c:f>
              <c:strCache>
                <c:ptCount val="1"/>
                <c:pt idx="0">
                  <c:v>Vov(hi)</c:v>
                </c:pt>
              </c:strCache>
            </c:strRef>
          </c:tx>
          <c:spPr>
            <a:ln w="28800">
              <a:solidFill>
                <a:srgbClr val="CC0000"/>
              </a:solidFill>
              <a:round/>
            </a:ln>
          </c:spPr>
          <c:marker>
            <c:symbol val="diamond"/>
            <c:size val="8"/>
            <c:spPr>
              <a:solidFill>
                <a:srgbClr val="CC0000"/>
              </a:solidFill>
            </c:spPr>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CALCULATIONS'!$I$2:$I$12</c:f>
              <c:numCache>
                <c:formatCode>General</c:formatCode>
                <c:ptCount val="11"/>
                <c:pt idx="9">
                  <c:v>62.400000000000006</c:v>
                </c:pt>
                <c:pt idx="10">
                  <c:v>62.400000000000006</c:v>
                </c:pt>
              </c:numCache>
            </c:numRef>
          </c:val>
          <c:smooth val="0"/>
          <c:extLst>
            <c:ext xmlns:c16="http://schemas.microsoft.com/office/drawing/2014/chart" uri="{C3380CC4-5D6E-409C-BE32-E72D297353CC}">
              <c16:uniqueId val="{00000000-C502-45DB-833E-7E2EEFDF980A}"/>
            </c:ext>
          </c:extLst>
        </c:ser>
        <c:ser>
          <c:idx val="1"/>
          <c:order val="1"/>
          <c:tx>
            <c:strRef>
              <c:f>'HIDDEN CALCULATIONS'!$H$1</c:f>
              <c:strCache>
                <c:ptCount val="1"/>
                <c:pt idx="0">
                  <c:v>Vov</c:v>
                </c:pt>
              </c:strCache>
            </c:strRef>
          </c:tx>
          <c:spPr>
            <a:ln w="28800">
              <a:solidFill>
                <a:srgbClr val="CC0000"/>
              </a:solidFill>
              <a:round/>
            </a:ln>
          </c:spPr>
          <c:marker>
            <c:symbol val="none"/>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CALCULATIONS'!$H$2:$H$12</c:f>
              <c:numCache>
                <c:formatCode>0.00</c:formatCode>
                <c:ptCount val="11"/>
                <c:pt idx="0">
                  <c:v>60</c:v>
                </c:pt>
                <c:pt idx="1">
                  <c:v>60</c:v>
                </c:pt>
                <c:pt idx="2">
                  <c:v>60</c:v>
                </c:pt>
                <c:pt idx="3">
                  <c:v>60</c:v>
                </c:pt>
                <c:pt idx="4">
                  <c:v>60</c:v>
                </c:pt>
                <c:pt idx="5">
                  <c:v>60</c:v>
                </c:pt>
                <c:pt idx="6">
                  <c:v>60</c:v>
                </c:pt>
                <c:pt idx="7">
                  <c:v>60</c:v>
                </c:pt>
                <c:pt idx="8">
                  <c:v>60</c:v>
                </c:pt>
                <c:pt idx="9">
                  <c:v>60</c:v>
                </c:pt>
                <c:pt idx="10">
                  <c:v>60</c:v>
                </c:pt>
              </c:numCache>
            </c:numRef>
          </c:val>
          <c:smooth val="0"/>
          <c:extLst>
            <c:ext xmlns:c16="http://schemas.microsoft.com/office/drawing/2014/chart" uri="{C3380CC4-5D6E-409C-BE32-E72D297353CC}">
              <c16:uniqueId val="{00000001-C502-45DB-833E-7E2EEFDF980A}"/>
            </c:ext>
          </c:extLst>
        </c:ser>
        <c:ser>
          <c:idx val="2"/>
          <c:order val="2"/>
          <c:tx>
            <c:strRef>
              <c:f>'HIDDEN CALCULATIONS'!$J$1</c:f>
              <c:strCache>
                <c:ptCount val="1"/>
                <c:pt idx="0">
                  <c:v>Vov(low)</c:v>
                </c:pt>
              </c:strCache>
            </c:strRef>
          </c:tx>
          <c:spPr>
            <a:ln w="28800">
              <a:solidFill>
                <a:srgbClr val="CC0000"/>
              </a:solidFill>
              <a:round/>
            </a:ln>
          </c:spPr>
          <c:marker>
            <c:symbol val="diamond"/>
            <c:size val="8"/>
            <c:spPr>
              <a:solidFill>
                <a:srgbClr val="CC0000"/>
              </a:solidFill>
            </c:spPr>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CALCULATIONS'!$J$2:$J$12</c:f>
              <c:numCache>
                <c:formatCode>General</c:formatCode>
                <c:ptCount val="11"/>
                <c:pt idx="9">
                  <c:v>57.599999999999994</c:v>
                </c:pt>
                <c:pt idx="10">
                  <c:v>57.599999999999994</c:v>
                </c:pt>
              </c:numCache>
            </c:numRef>
          </c:val>
          <c:smooth val="0"/>
          <c:extLst>
            <c:ext xmlns:c16="http://schemas.microsoft.com/office/drawing/2014/chart" uri="{C3380CC4-5D6E-409C-BE32-E72D297353CC}">
              <c16:uniqueId val="{00000002-C502-45DB-833E-7E2EEFDF980A}"/>
            </c:ext>
          </c:extLst>
        </c:ser>
        <c:ser>
          <c:idx val="3"/>
          <c:order val="3"/>
          <c:tx>
            <c:strRef>
              <c:f>'HIDDEN CALCULATIONS'!$N$1</c:f>
              <c:strCache>
                <c:ptCount val="1"/>
                <c:pt idx="0">
                  <c:v>V_op_max</c:v>
                </c:pt>
              </c:strCache>
            </c:strRef>
          </c:tx>
          <c:spPr>
            <a:ln w="28800">
              <a:solidFill>
                <a:srgbClr val="FF00CC"/>
              </a:solidFill>
              <a:round/>
            </a:ln>
          </c:spPr>
          <c:marker>
            <c:symbol val="none"/>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CALCULATIONS'!$N$2:$N$12</c:f>
              <c:numCache>
                <c:formatCode>General</c:formatCode>
                <c:ptCount val="11"/>
                <c:pt idx="7">
                  <c:v>60</c:v>
                </c:pt>
                <c:pt idx="8">
                  <c:v>60</c:v>
                </c:pt>
                <c:pt idx="9">
                  <c:v>60</c:v>
                </c:pt>
                <c:pt idx="10">
                  <c:v>60</c:v>
                </c:pt>
              </c:numCache>
            </c:numRef>
          </c:val>
          <c:smooth val="0"/>
          <c:extLst>
            <c:ext xmlns:c16="http://schemas.microsoft.com/office/drawing/2014/chart" uri="{C3380CC4-5D6E-409C-BE32-E72D297353CC}">
              <c16:uniqueId val="{00000003-C502-45DB-833E-7E2EEFDF980A}"/>
            </c:ext>
          </c:extLst>
        </c:ser>
        <c:ser>
          <c:idx val="4"/>
          <c:order val="4"/>
          <c:tx>
            <c:strRef>
              <c:f>'HIDDEN CALCULATIONS'!$M$1</c:f>
              <c:strCache>
                <c:ptCount val="1"/>
                <c:pt idx="0">
                  <c:v>V_op_typ</c:v>
                </c:pt>
              </c:strCache>
            </c:strRef>
          </c:tx>
          <c:spPr>
            <a:ln w="28800">
              <a:solidFill>
                <a:srgbClr val="FF00CC"/>
              </a:solidFill>
              <a:round/>
            </a:ln>
          </c:spPr>
          <c:marker>
            <c:symbol val="none"/>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CALCULATIONS'!$M$2:$M$12</c:f>
              <c:numCache>
                <c:formatCode>General</c:formatCode>
                <c:ptCount val="11"/>
                <c:pt idx="6">
                  <c:v>48</c:v>
                </c:pt>
                <c:pt idx="7">
                  <c:v>48</c:v>
                </c:pt>
                <c:pt idx="8">
                  <c:v>48</c:v>
                </c:pt>
                <c:pt idx="9">
                  <c:v>48</c:v>
                </c:pt>
                <c:pt idx="10">
                  <c:v>48</c:v>
                </c:pt>
              </c:numCache>
            </c:numRef>
          </c:val>
          <c:smooth val="0"/>
          <c:extLst>
            <c:ext xmlns:c16="http://schemas.microsoft.com/office/drawing/2014/chart" uri="{C3380CC4-5D6E-409C-BE32-E72D297353CC}">
              <c16:uniqueId val="{00000004-C502-45DB-833E-7E2EEFDF980A}"/>
            </c:ext>
          </c:extLst>
        </c:ser>
        <c:ser>
          <c:idx val="5"/>
          <c:order val="5"/>
          <c:tx>
            <c:strRef>
              <c:f>'HIDDEN CALCULATIONS'!$L$1</c:f>
              <c:strCache>
                <c:ptCount val="1"/>
                <c:pt idx="0">
                  <c:v>V_op_min</c:v>
                </c:pt>
              </c:strCache>
            </c:strRef>
          </c:tx>
          <c:spPr>
            <a:ln w="28800">
              <a:solidFill>
                <a:srgbClr val="FF00CC"/>
              </a:solidFill>
              <a:round/>
            </a:ln>
          </c:spPr>
          <c:marker>
            <c:symbol val="none"/>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CALCULATIONS'!$L$2:$L$12</c:f>
              <c:numCache>
                <c:formatCode>General</c:formatCode>
                <c:ptCount val="11"/>
                <c:pt idx="5">
                  <c:v>41</c:v>
                </c:pt>
                <c:pt idx="6">
                  <c:v>41</c:v>
                </c:pt>
                <c:pt idx="7">
                  <c:v>41</c:v>
                </c:pt>
                <c:pt idx="8">
                  <c:v>41</c:v>
                </c:pt>
                <c:pt idx="9">
                  <c:v>41</c:v>
                </c:pt>
                <c:pt idx="10">
                  <c:v>41</c:v>
                </c:pt>
              </c:numCache>
            </c:numRef>
          </c:val>
          <c:smooth val="0"/>
          <c:extLst>
            <c:ext xmlns:c16="http://schemas.microsoft.com/office/drawing/2014/chart" uri="{C3380CC4-5D6E-409C-BE32-E72D297353CC}">
              <c16:uniqueId val="{00000005-C502-45DB-833E-7E2EEFDF980A}"/>
            </c:ext>
          </c:extLst>
        </c:ser>
        <c:ser>
          <c:idx val="6"/>
          <c:order val="6"/>
          <c:tx>
            <c:strRef>
              <c:f>'HIDDEN CALCULATIONS'!$C$1</c:f>
              <c:strCache>
                <c:ptCount val="1"/>
                <c:pt idx="0">
                  <c:v>V_uv_h(hi)</c:v>
                </c:pt>
              </c:strCache>
            </c:strRef>
          </c:tx>
          <c:spPr>
            <a:ln w="28800">
              <a:solidFill>
                <a:srgbClr val="3333FF"/>
              </a:solidFill>
              <a:round/>
            </a:ln>
          </c:spPr>
          <c:marker>
            <c:symbol val="diamond"/>
            <c:size val="8"/>
            <c:spPr>
              <a:solidFill>
                <a:srgbClr val="3333FF"/>
              </a:solidFill>
            </c:spPr>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CALCULATIONS'!$C$2:$C$12</c:f>
              <c:numCache>
                <c:formatCode>General</c:formatCode>
                <c:ptCount val="11"/>
                <c:pt idx="6">
                  <c:v>43.050000000000004</c:v>
                </c:pt>
                <c:pt idx="7">
                  <c:v>43.050000000000004</c:v>
                </c:pt>
              </c:numCache>
            </c:numRef>
          </c:val>
          <c:smooth val="0"/>
          <c:extLst>
            <c:ext xmlns:c16="http://schemas.microsoft.com/office/drawing/2014/chart" uri="{C3380CC4-5D6E-409C-BE32-E72D297353CC}">
              <c16:uniqueId val="{00000006-C502-45DB-833E-7E2EEFDF980A}"/>
            </c:ext>
          </c:extLst>
        </c:ser>
        <c:ser>
          <c:idx val="7"/>
          <c:order val="7"/>
          <c:tx>
            <c:strRef>
              <c:f>'HIDDEN CALCULATIONS'!$B$1</c:f>
              <c:strCache>
                <c:ptCount val="1"/>
                <c:pt idx="0">
                  <c:v>V_uv_h</c:v>
                </c:pt>
              </c:strCache>
            </c:strRef>
          </c:tx>
          <c:spPr>
            <a:ln w="28800">
              <a:solidFill>
                <a:srgbClr val="3333FF"/>
              </a:solidFill>
              <a:round/>
            </a:ln>
          </c:spPr>
          <c:marker>
            <c:symbol val="none"/>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CALCULATIONS'!$B$2:$B$12</c:f>
              <c:numCache>
                <c:formatCode>0.00</c:formatCode>
                <c:ptCount val="11"/>
                <c:pt idx="0">
                  <c:v>41</c:v>
                </c:pt>
                <c:pt idx="1">
                  <c:v>41</c:v>
                </c:pt>
                <c:pt idx="2">
                  <c:v>41</c:v>
                </c:pt>
                <c:pt idx="3">
                  <c:v>41</c:v>
                </c:pt>
                <c:pt idx="4">
                  <c:v>41</c:v>
                </c:pt>
                <c:pt idx="5">
                  <c:v>41</c:v>
                </c:pt>
                <c:pt idx="6">
                  <c:v>41</c:v>
                </c:pt>
                <c:pt idx="7">
                  <c:v>41</c:v>
                </c:pt>
                <c:pt idx="8">
                  <c:v>41</c:v>
                </c:pt>
                <c:pt idx="9">
                  <c:v>41</c:v>
                </c:pt>
                <c:pt idx="10">
                  <c:v>41</c:v>
                </c:pt>
              </c:numCache>
            </c:numRef>
          </c:val>
          <c:smooth val="0"/>
          <c:extLst>
            <c:ext xmlns:c16="http://schemas.microsoft.com/office/drawing/2014/chart" uri="{C3380CC4-5D6E-409C-BE32-E72D297353CC}">
              <c16:uniqueId val="{00000007-C502-45DB-833E-7E2EEFDF980A}"/>
            </c:ext>
          </c:extLst>
        </c:ser>
        <c:ser>
          <c:idx val="8"/>
          <c:order val="8"/>
          <c:tx>
            <c:strRef>
              <c:f>'HIDDEN CALCULATIONS'!$D$1</c:f>
              <c:strCache>
                <c:ptCount val="1"/>
                <c:pt idx="0">
                  <c:v>V_uv_h(low)</c:v>
                </c:pt>
              </c:strCache>
            </c:strRef>
          </c:tx>
          <c:spPr>
            <a:ln w="28800">
              <a:solidFill>
                <a:srgbClr val="3333FF"/>
              </a:solidFill>
              <a:round/>
            </a:ln>
          </c:spPr>
          <c:marker>
            <c:symbol val="diamond"/>
            <c:size val="8"/>
            <c:spPr>
              <a:solidFill>
                <a:srgbClr val="3333FF"/>
              </a:solidFill>
            </c:spPr>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CALCULATIONS'!$D$2:$D$12</c:f>
              <c:numCache>
                <c:formatCode>General</c:formatCode>
                <c:ptCount val="11"/>
                <c:pt idx="6">
                  <c:v>38.949999999999996</c:v>
                </c:pt>
                <c:pt idx="7">
                  <c:v>38.949999999999996</c:v>
                </c:pt>
              </c:numCache>
            </c:numRef>
          </c:val>
          <c:smooth val="0"/>
          <c:extLst>
            <c:ext xmlns:c16="http://schemas.microsoft.com/office/drawing/2014/chart" uri="{C3380CC4-5D6E-409C-BE32-E72D297353CC}">
              <c16:uniqueId val="{00000008-C502-45DB-833E-7E2EEFDF980A}"/>
            </c:ext>
          </c:extLst>
        </c:ser>
        <c:ser>
          <c:idx val="9"/>
          <c:order val="9"/>
          <c:tx>
            <c:strRef>
              <c:f>'HIDDEN CALCULATIONS'!$K$1</c:f>
              <c:strCache>
                <c:ptCount val="1"/>
                <c:pt idx="0">
                  <c:v>V_pgood</c:v>
                </c:pt>
              </c:strCache>
            </c:strRef>
          </c:tx>
          <c:spPr>
            <a:ln w="28800">
              <a:solidFill>
                <a:srgbClr val="00CC00"/>
              </a:solidFill>
              <a:round/>
            </a:ln>
          </c:spPr>
          <c:marker>
            <c:symbol val="none"/>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CALCULATIONS'!$K$2:$K$12</c:f>
              <c:numCache>
                <c:formatCode>0.00</c:formatCode>
                <c:ptCount val="11"/>
                <c:pt idx="0">
                  <c:v>40</c:v>
                </c:pt>
                <c:pt idx="1">
                  <c:v>40</c:v>
                </c:pt>
                <c:pt idx="2">
                  <c:v>40</c:v>
                </c:pt>
                <c:pt idx="3">
                  <c:v>40</c:v>
                </c:pt>
                <c:pt idx="4">
                  <c:v>40</c:v>
                </c:pt>
                <c:pt idx="5">
                  <c:v>40</c:v>
                </c:pt>
                <c:pt idx="6">
                  <c:v>40</c:v>
                </c:pt>
                <c:pt idx="7">
                  <c:v>40</c:v>
                </c:pt>
                <c:pt idx="8">
                  <c:v>40</c:v>
                </c:pt>
                <c:pt idx="9">
                  <c:v>40</c:v>
                </c:pt>
                <c:pt idx="10">
                  <c:v>40</c:v>
                </c:pt>
              </c:numCache>
            </c:numRef>
          </c:val>
          <c:smooth val="0"/>
          <c:extLst>
            <c:ext xmlns:c16="http://schemas.microsoft.com/office/drawing/2014/chart" uri="{C3380CC4-5D6E-409C-BE32-E72D297353CC}">
              <c16:uniqueId val="{00000009-C502-45DB-833E-7E2EEFDF980A}"/>
            </c:ext>
          </c:extLst>
        </c:ser>
        <c:ser>
          <c:idx val="10"/>
          <c:order val="10"/>
          <c:tx>
            <c:strRef>
              <c:f>'HIDDEN CALCULATIONS'!$F$1</c:f>
              <c:strCache>
                <c:ptCount val="1"/>
                <c:pt idx="0">
                  <c:v>Vuv_l(hi)</c:v>
                </c:pt>
              </c:strCache>
            </c:strRef>
          </c:tx>
          <c:spPr>
            <a:ln w="28800">
              <a:solidFill>
                <a:srgbClr val="CC0000"/>
              </a:solidFill>
              <a:round/>
            </a:ln>
          </c:spPr>
          <c:marker>
            <c:symbol val="diamond"/>
            <c:size val="8"/>
            <c:spPr>
              <a:solidFill>
                <a:srgbClr val="CC0000"/>
              </a:solidFill>
            </c:spPr>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CALCULATIONS'!$F$2:$F$12</c:f>
              <c:numCache>
                <c:formatCode>General</c:formatCode>
                <c:ptCount val="11"/>
                <c:pt idx="5">
                  <c:v>40.56</c:v>
                </c:pt>
                <c:pt idx="6">
                  <c:v>40.56</c:v>
                </c:pt>
              </c:numCache>
            </c:numRef>
          </c:val>
          <c:smooth val="0"/>
          <c:extLst>
            <c:ext xmlns:c16="http://schemas.microsoft.com/office/drawing/2014/chart" uri="{C3380CC4-5D6E-409C-BE32-E72D297353CC}">
              <c16:uniqueId val="{0000000A-C502-45DB-833E-7E2EEFDF980A}"/>
            </c:ext>
          </c:extLst>
        </c:ser>
        <c:ser>
          <c:idx val="11"/>
          <c:order val="11"/>
          <c:tx>
            <c:strRef>
              <c:f>'HIDDEN CALCULATIONS'!$E$1</c:f>
              <c:strCache>
                <c:ptCount val="1"/>
                <c:pt idx="0">
                  <c:v>Vuv_l</c:v>
                </c:pt>
              </c:strCache>
            </c:strRef>
          </c:tx>
          <c:spPr>
            <a:ln w="28800">
              <a:solidFill>
                <a:srgbClr val="CC0000"/>
              </a:solidFill>
              <a:round/>
            </a:ln>
          </c:spPr>
          <c:marker>
            <c:symbol val="none"/>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CALCULATIONS'!$E$2:$E$12</c:f>
              <c:numCache>
                <c:formatCode>0.00</c:formatCode>
                <c:ptCount val="11"/>
                <c:pt idx="0">
                  <c:v>39</c:v>
                </c:pt>
                <c:pt idx="1">
                  <c:v>39</c:v>
                </c:pt>
                <c:pt idx="2">
                  <c:v>39</c:v>
                </c:pt>
                <c:pt idx="3">
                  <c:v>39</c:v>
                </c:pt>
                <c:pt idx="4">
                  <c:v>39</c:v>
                </c:pt>
                <c:pt idx="5">
                  <c:v>39</c:v>
                </c:pt>
                <c:pt idx="6">
                  <c:v>39</c:v>
                </c:pt>
                <c:pt idx="7">
                  <c:v>39</c:v>
                </c:pt>
                <c:pt idx="8">
                  <c:v>39</c:v>
                </c:pt>
                <c:pt idx="9">
                  <c:v>39</c:v>
                </c:pt>
                <c:pt idx="10">
                  <c:v>39</c:v>
                </c:pt>
              </c:numCache>
            </c:numRef>
          </c:val>
          <c:smooth val="0"/>
          <c:extLst>
            <c:ext xmlns:c16="http://schemas.microsoft.com/office/drawing/2014/chart" uri="{C3380CC4-5D6E-409C-BE32-E72D297353CC}">
              <c16:uniqueId val="{0000000B-C502-45DB-833E-7E2EEFDF980A}"/>
            </c:ext>
          </c:extLst>
        </c:ser>
        <c:ser>
          <c:idx val="12"/>
          <c:order val="12"/>
          <c:tx>
            <c:strRef>
              <c:f>'HIDDEN CALCULATIONS'!$G$1</c:f>
              <c:strCache>
                <c:ptCount val="1"/>
                <c:pt idx="0">
                  <c:v>Vuv_l(low)</c:v>
                </c:pt>
              </c:strCache>
            </c:strRef>
          </c:tx>
          <c:spPr>
            <a:ln w="28800">
              <a:solidFill>
                <a:srgbClr val="CC0000"/>
              </a:solidFill>
              <a:round/>
            </a:ln>
          </c:spPr>
          <c:marker>
            <c:symbol val="diamond"/>
            <c:size val="8"/>
            <c:spPr>
              <a:solidFill>
                <a:srgbClr val="CC0000"/>
              </a:solidFill>
            </c:spPr>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CALCULATIONS'!$G$2:$G$12</c:f>
              <c:numCache>
                <c:formatCode>General</c:formatCode>
                <c:ptCount val="11"/>
                <c:pt idx="5">
                  <c:v>37.44</c:v>
                </c:pt>
                <c:pt idx="6">
                  <c:v>37.44</c:v>
                </c:pt>
              </c:numCache>
            </c:numRef>
          </c:val>
          <c:smooth val="0"/>
          <c:extLst>
            <c:ext xmlns:c16="http://schemas.microsoft.com/office/drawing/2014/chart" uri="{C3380CC4-5D6E-409C-BE32-E72D297353CC}">
              <c16:uniqueId val="{0000000C-C502-45DB-833E-7E2EEFDF980A}"/>
            </c:ext>
          </c:extLst>
        </c:ser>
        <c:ser>
          <c:idx val="13"/>
          <c:order val="13"/>
          <c:tx>
            <c:strRef>
              <c:f>'HIDDEN CALCULATIONS'!$A$1</c:f>
              <c:strCache>
                <c:ptCount val="1"/>
                <c:pt idx="0">
                  <c:v>Vin ramp</c:v>
                </c:pt>
              </c:strCache>
            </c:strRef>
          </c:tx>
          <c:spPr>
            <a:ln w="28800">
              <a:solidFill>
                <a:srgbClr val="000000"/>
              </a:solidFill>
              <a:round/>
            </a:ln>
          </c:spPr>
          <c:marker>
            <c:symbol val="none"/>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CALCULATIONS'!$A$2:$A$12</c:f>
              <c:numCache>
                <c:formatCode>General</c:formatCode>
                <c:ptCount val="11"/>
                <c:pt idx="0">
                  <c:v>0</c:v>
                </c:pt>
                <c:pt idx="1">
                  <c:v>6</c:v>
                </c:pt>
                <c:pt idx="2">
                  <c:v>12</c:v>
                </c:pt>
                <c:pt idx="3">
                  <c:v>18</c:v>
                </c:pt>
                <c:pt idx="4">
                  <c:v>24</c:v>
                </c:pt>
                <c:pt idx="5">
                  <c:v>30</c:v>
                </c:pt>
                <c:pt idx="6">
                  <c:v>36</c:v>
                </c:pt>
                <c:pt idx="7">
                  <c:v>42</c:v>
                </c:pt>
                <c:pt idx="8">
                  <c:v>48</c:v>
                </c:pt>
                <c:pt idx="9">
                  <c:v>54</c:v>
                </c:pt>
                <c:pt idx="10">
                  <c:v>60</c:v>
                </c:pt>
              </c:numCache>
            </c:numRef>
          </c:val>
          <c:smooth val="0"/>
          <c:extLst>
            <c:ext xmlns:c16="http://schemas.microsoft.com/office/drawing/2014/chart" uri="{C3380CC4-5D6E-409C-BE32-E72D297353CC}">
              <c16:uniqueId val="{0000000D-C502-45DB-833E-7E2EEFDF980A}"/>
            </c:ext>
          </c:extLst>
        </c:ser>
        <c:dLbls>
          <c:showLegendKey val="0"/>
          <c:showVal val="0"/>
          <c:showCatName val="0"/>
          <c:showSerName val="0"/>
          <c:showPercent val="0"/>
          <c:showBubbleSize val="0"/>
        </c:dLbls>
        <c:hiLowLines>
          <c:spPr>
            <a:ln>
              <a:noFill/>
            </a:ln>
          </c:spPr>
        </c:hiLowLines>
        <c:marker val="1"/>
        <c:smooth val="0"/>
        <c:axId val="77058105"/>
        <c:axId val="48694403"/>
      </c:lineChart>
      <c:catAx>
        <c:axId val="77058105"/>
        <c:scaling>
          <c:orientation val="minMax"/>
        </c:scaling>
        <c:delete val="1"/>
        <c:axPos val="b"/>
        <c:numFmt formatCode="General" sourceLinked="1"/>
        <c:majorTickMark val="out"/>
        <c:minorTickMark val="none"/>
        <c:tickLblPos val="nextTo"/>
        <c:crossAx val="48694403"/>
        <c:crosses val="autoZero"/>
        <c:auto val="1"/>
        <c:lblAlgn val="ctr"/>
        <c:lblOffset val="100"/>
        <c:noMultiLvlLbl val="1"/>
      </c:catAx>
      <c:valAx>
        <c:axId val="48694403"/>
        <c:scaling>
          <c:orientation val="minMax"/>
        </c:scaling>
        <c:delete val="0"/>
        <c:axPos val="l"/>
        <c:majorGridlines>
          <c:spPr>
            <a:ln>
              <a:solidFill>
                <a:srgbClr val="B3B3B3"/>
              </a:solidFill>
            </a:ln>
          </c:spPr>
        </c:majorGridlines>
        <c:title>
          <c:tx>
            <c:rich>
              <a:bodyPr rot="-5400000"/>
              <a:lstStyle/>
              <a:p>
                <a:pPr>
                  <a:defRPr sz="900" b="0" strike="noStrike" spc="-1">
                    <a:latin typeface="Arial"/>
                  </a:defRPr>
                </a:pPr>
                <a:r>
                  <a:rPr lang="en-US" sz="900" b="0" strike="noStrike" spc="-1">
                    <a:latin typeface="Arial"/>
                  </a:rPr>
                  <a:t>Voltage</a:t>
                </a:r>
              </a:p>
            </c:rich>
          </c:tx>
          <c:overlay val="0"/>
          <c:spPr>
            <a:noFill/>
            <a:ln>
              <a:noFill/>
            </a:ln>
          </c:spPr>
        </c:title>
        <c:numFmt formatCode="General" sourceLinked="0"/>
        <c:majorTickMark val="out"/>
        <c:minorTickMark val="none"/>
        <c:tickLblPos val="nextTo"/>
        <c:spPr>
          <a:ln>
            <a:solidFill>
              <a:srgbClr val="B3B3B3"/>
            </a:solidFill>
          </a:ln>
        </c:spPr>
        <c:txPr>
          <a:bodyPr/>
          <a:lstStyle/>
          <a:p>
            <a:pPr>
              <a:defRPr sz="1000" b="0" strike="noStrike" spc="-1">
                <a:latin typeface="Arial"/>
              </a:defRPr>
            </a:pPr>
            <a:endParaRPr lang="en-US"/>
          </a:p>
        </c:txPr>
        <c:crossAx val="77058105"/>
        <c:crosses val="autoZero"/>
        <c:crossBetween val="midCat"/>
      </c:valAx>
      <c:spPr>
        <a:noFill/>
        <a:ln>
          <a:solidFill>
            <a:srgbClr val="B3B3B3"/>
          </a:solidFill>
        </a:ln>
      </c:spPr>
    </c:plotArea>
    <c:legend>
      <c:legendPos val="r"/>
      <c:overlay val="0"/>
      <c:spPr>
        <a:noFill/>
        <a:ln>
          <a:noFill/>
        </a:ln>
      </c:spPr>
      <c:txPr>
        <a:bodyPr/>
        <a:lstStyle/>
        <a:p>
          <a:pPr>
            <a:defRPr sz="1000" b="0" strike="noStrike" spc="-1">
              <a:latin typeface="Arial"/>
            </a:defRPr>
          </a:pPr>
          <a:endParaRPr lang="en-US"/>
        </a:p>
      </c:txPr>
    </c:legend>
    <c:plotVisOnly val="1"/>
    <c:dispBlanksAs val="gap"/>
    <c:showDLblsOverMax val="1"/>
  </c:chart>
  <c:spPr>
    <a:solidFill>
      <a:srgbClr val="FFFFFF"/>
    </a:solid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300" b="0" strike="noStrike" spc="-1">
                <a:latin typeface="Arial"/>
              </a:defRPr>
            </a:pPr>
            <a:r>
              <a:rPr lang="en-US" sz="1300" b="0" strike="noStrike" spc="-1">
                <a:latin typeface="Arial"/>
              </a:rPr>
              <a:t>ISET Power and Current Limits</a:t>
            </a:r>
          </a:p>
        </c:rich>
      </c:tx>
      <c:overlay val="0"/>
      <c:spPr>
        <a:noFill/>
        <a:ln>
          <a:noFill/>
        </a:ln>
      </c:spPr>
    </c:title>
    <c:autoTitleDeleted val="0"/>
    <c:plotArea>
      <c:layout>
        <c:manualLayout>
          <c:layoutTarget val="inner"/>
          <c:xMode val="edge"/>
          <c:yMode val="edge"/>
          <c:x val="0.10910410718629779"/>
          <c:y val="7.1295026816158749E-2"/>
          <c:w val="0.62044310195849006"/>
          <c:h val="0.85677849401991801"/>
        </c:manualLayout>
      </c:layout>
      <c:scatterChart>
        <c:scatterStyle val="lineMarker"/>
        <c:varyColors val="0"/>
        <c:ser>
          <c:idx val="0"/>
          <c:order val="0"/>
          <c:tx>
            <c:strRef>
              <c:f>'ISET&amp;ISTART PINS'!$J$43</c:f>
              <c:strCache>
                <c:ptCount val="1"/>
                <c:pt idx="0">
                  <c:v>I_lim</c:v>
                </c:pt>
              </c:strCache>
            </c:strRef>
          </c:tx>
          <c:spPr>
            <a:ln w="28800">
              <a:solidFill>
                <a:srgbClr val="004586"/>
              </a:solidFill>
              <a:round/>
            </a:ln>
          </c:spPr>
          <c:marker>
            <c:symbol val="square"/>
            <c:size val="8"/>
            <c:spPr>
              <a:solidFill>
                <a:srgbClr val="004586"/>
              </a:solidFill>
            </c:spPr>
          </c:marker>
          <c:dLbls>
            <c:spPr>
              <a:noFill/>
              <a:ln>
                <a:noFill/>
              </a:ln>
              <a:effectLst/>
            </c:spPr>
            <c:txPr>
              <a:bodyPr/>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xVal>
            <c:numRef>
              <c:f>'ISET&amp;ISTART PINS'!$I$44:$I$46</c:f>
              <c:numCache>
                <c:formatCode>General</c:formatCode>
                <c:ptCount val="3"/>
                <c:pt idx="0">
                  <c:v>41</c:v>
                </c:pt>
                <c:pt idx="1">
                  <c:v>48</c:v>
                </c:pt>
                <c:pt idx="2">
                  <c:v>60</c:v>
                </c:pt>
              </c:numCache>
            </c:numRef>
          </c:xVal>
          <c:yVal>
            <c:numRef>
              <c:f>'ISET&amp;ISTART PINS'!$J$44:$J$46</c:f>
              <c:numCache>
                <c:formatCode>0.00</c:formatCode>
                <c:ptCount val="3"/>
                <c:pt idx="0">
                  <c:v>28.559465066358108</c:v>
                </c:pt>
                <c:pt idx="1">
                  <c:v>29.391765439800377</c:v>
                </c:pt>
                <c:pt idx="2">
                  <c:v>30.246712027926698</c:v>
                </c:pt>
              </c:numCache>
            </c:numRef>
          </c:yVal>
          <c:smooth val="1"/>
          <c:extLst>
            <c:ext xmlns:c16="http://schemas.microsoft.com/office/drawing/2014/chart" uri="{C3380CC4-5D6E-409C-BE32-E72D297353CC}">
              <c16:uniqueId val="{00000000-615A-4248-BED8-6771C579EB2B}"/>
            </c:ext>
          </c:extLst>
        </c:ser>
        <c:dLbls>
          <c:showLegendKey val="0"/>
          <c:showVal val="0"/>
          <c:showCatName val="0"/>
          <c:showSerName val="0"/>
          <c:showPercent val="0"/>
          <c:showBubbleSize val="0"/>
        </c:dLbls>
        <c:axId val="58652792"/>
        <c:axId val="49757214"/>
      </c:scatterChart>
      <c:scatterChart>
        <c:scatterStyle val="lineMarker"/>
        <c:varyColors val="0"/>
        <c:ser>
          <c:idx val="1"/>
          <c:order val="1"/>
          <c:tx>
            <c:strRef>
              <c:f>'ISET&amp;ISTART PINS'!$K$43</c:f>
              <c:strCache>
                <c:ptCount val="1"/>
                <c:pt idx="0">
                  <c:v>P_load</c:v>
                </c:pt>
              </c:strCache>
            </c:strRef>
          </c:tx>
          <c:spPr>
            <a:ln w="28800">
              <a:solidFill>
                <a:srgbClr val="FF420E"/>
              </a:solidFill>
              <a:round/>
            </a:ln>
          </c:spPr>
          <c:marker>
            <c:symbol val="diamond"/>
            <c:size val="8"/>
            <c:spPr>
              <a:solidFill>
                <a:srgbClr val="FF420E"/>
              </a:solidFill>
            </c:spPr>
          </c:marker>
          <c:dLbls>
            <c:spPr>
              <a:noFill/>
              <a:ln>
                <a:noFill/>
              </a:ln>
              <a:effectLst/>
            </c:spPr>
            <c:txPr>
              <a:bodyPr/>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xVal>
            <c:numRef>
              <c:f>'ISET&amp;ISTART PINS'!$I$44:$I$46</c:f>
              <c:numCache>
                <c:formatCode>General</c:formatCode>
                <c:ptCount val="3"/>
                <c:pt idx="0">
                  <c:v>41</c:v>
                </c:pt>
                <c:pt idx="1">
                  <c:v>48</c:v>
                </c:pt>
                <c:pt idx="2">
                  <c:v>60</c:v>
                </c:pt>
              </c:numCache>
            </c:numRef>
          </c:xVal>
          <c:yVal>
            <c:numRef>
              <c:f>'ISET&amp;ISTART PINS'!$K$44:$K$46</c:f>
              <c:numCache>
                <c:formatCode>General</c:formatCode>
                <c:ptCount val="3"/>
                <c:pt idx="0">
                  <c:v>1240.1151931449947</c:v>
                </c:pt>
                <c:pt idx="1">
                  <c:v>1410.804741110418</c:v>
                </c:pt>
                <c:pt idx="2">
                  <c:v>1814.8027216756018</c:v>
                </c:pt>
              </c:numCache>
            </c:numRef>
          </c:yVal>
          <c:smooth val="1"/>
          <c:extLst>
            <c:ext xmlns:c16="http://schemas.microsoft.com/office/drawing/2014/chart" uri="{C3380CC4-5D6E-409C-BE32-E72D297353CC}">
              <c16:uniqueId val="{00000001-615A-4248-BED8-6771C579EB2B}"/>
            </c:ext>
          </c:extLst>
        </c:ser>
        <c:dLbls>
          <c:showLegendKey val="0"/>
          <c:showVal val="0"/>
          <c:showCatName val="0"/>
          <c:showSerName val="0"/>
          <c:showPercent val="0"/>
          <c:showBubbleSize val="0"/>
        </c:dLbls>
        <c:axId val="14146482"/>
        <c:axId val="94357080"/>
      </c:scatterChart>
      <c:valAx>
        <c:axId val="58652792"/>
        <c:scaling>
          <c:orientation val="minMax"/>
        </c:scaling>
        <c:delete val="1"/>
        <c:axPos val="t"/>
        <c:numFmt formatCode="General" sourceLinked="1"/>
        <c:majorTickMark val="out"/>
        <c:minorTickMark val="none"/>
        <c:tickLblPos val="nextTo"/>
        <c:crossAx val="49757214"/>
        <c:crosses val="max"/>
        <c:crossBetween val="midCat"/>
      </c:valAx>
      <c:valAx>
        <c:axId val="49757214"/>
        <c:scaling>
          <c:orientation val="minMax"/>
        </c:scaling>
        <c:delete val="0"/>
        <c:axPos val="r"/>
        <c:title>
          <c:tx>
            <c:rich>
              <a:bodyPr rot="-5400000"/>
              <a:lstStyle/>
              <a:p>
                <a:pPr>
                  <a:defRPr sz="900" b="0" strike="noStrike" spc="-1">
                    <a:latin typeface="Arial"/>
                  </a:defRPr>
                </a:pPr>
                <a:r>
                  <a:rPr lang="en-US" sz="900" b="0" strike="noStrike" spc="-1">
                    <a:latin typeface="Arial"/>
                  </a:rPr>
                  <a:t>Current (A)</a:t>
                </a:r>
              </a:p>
            </c:rich>
          </c:tx>
          <c:overlay val="0"/>
          <c:spPr>
            <a:noFill/>
            <a:ln>
              <a:noFill/>
            </a:ln>
          </c:spPr>
        </c:title>
        <c:numFmt formatCode="0.00" sourceLinked="1"/>
        <c:majorTickMark val="out"/>
        <c:minorTickMark val="none"/>
        <c:tickLblPos val="nextTo"/>
        <c:spPr>
          <a:ln>
            <a:solidFill>
              <a:srgbClr val="B3B3B3"/>
            </a:solidFill>
          </a:ln>
        </c:spPr>
        <c:txPr>
          <a:bodyPr/>
          <a:lstStyle/>
          <a:p>
            <a:pPr>
              <a:defRPr sz="1000" b="0" strike="noStrike" spc="-1">
                <a:latin typeface="Arial"/>
              </a:defRPr>
            </a:pPr>
            <a:endParaRPr lang="en-US"/>
          </a:p>
        </c:txPr>
        <c:crossAx val="58652792"/>
        <c:crosses val="max"/>
        <c:crossBetween val="midCat"/>
      </c:valAx>
      <c:valAx>
        <c:axId val="14146482"/>
        <c:scaling>
          <c:orientation val="minMax"/>
        </c:scaling>
        <c:delete val="0"/>
        <c:axPos val="b"/>
        <c:majorGridlines>
          <c:spPr>
            <a:ln>
              <a:solidFill>
                <a:srgbClr val="B3B3B3"/>
              </a:solidFill>
            </a:ln>
          </c:spPr>
        </c:majorGridlines>
        <c:title>
          <c:tx>
            <c:rich>
              <a:bodyPr rot="0"/>
              <a:lstStyle/>
              <a:p>
                <a:pPr>
                  <a:defRPr sz="900" b="0" strike="noStrike" spc="-1">
                    <a:latin typeface="Arial"/>
                  </a:defRPr>
                </a:pPr>
                <a:r>
                  <a:rPr lang="en-US" sz="900" b="0" strike="noStrike" spc="-1">
                    <a:latin typeface="Arial"/>
                  </a:rPr>
                  <a:t>VIN (V)</a:t>
                </a:r>
              </a:p>
            </c:rich>
          </c:tx>
          <c:layout>
            <c:manualLayout>
              <c:xMode val="edge"/>
              <c:yMode val="edge"/>
              <c:x val="0.40497639697702809"/>
              <c:y val="0.96159270693521648"/>
            </c:manualLayout>
          </c:layout>
          <c:overlay val="0"/>
          <c:spPr>
            <a:noFill/>
            <a:ln>
              <a:noFill/>
            </a:ln>
          </c:spPr>
        </c:title>
        <c:numFmt formatCode="General" sourceLinked="1"/>
        <c:majorTickMark val="out"/>
        <c:minorTickMark val="none"/>
        <c:tickLblPos val="nextTo"/>
        <c:spPr>
          <a:ln>
            <a:solidFill>
              <a:srgbClr val="B3B3B3"/>
            </a:solidFill>
          </a:ln>
        </c:spPr>
        <c:txPr>
          <a:bodyPr/>
          <a:lstStyle/>
          <a:p>
            <a:pPr>
              <a:defRPr sz="1000" b="0" strike="noStrike" spc="-1">
                <a:latin typeface="Arial"/>
              </a:defRPr>
            </a:pPr>
            <a:endParaRPr lang="en-US"/>
          </a:p>
        </c:txPr>
        <c:crossAx val="94357080"/>
        <c:crosses val="autoZero"/>
        <c:crossBetween val="midCat"/>
      </c:valAx>
      <c:valAx>
        <c:axId val="94357080"/>
        <c:scaling>
          <c:orientation val="minMax"/>
        </c:scaling>
        <c:delete val="0"/>
        <c:axPos val="l"/>
        <c:majorGridlines>
          <c:spPr>
            <a:ln>
              <a:solidFill>
                <a:srgbClr val="B3B3B3"/>
              </a:solidFill>
            </a:ln>
          </c:spPr>
        </c:majorGridlines>
        <c:title>
          <c:tx>
            <c:rich>
              <a:bodyPr rot="-5400000"/>
              <a:lstStyle/>
              <a:p>
                <a:pPr>
                  <a:defRPr sz="900" b="0" strike="noStrike" spc="-1">
                    <a:latin typeface="Arial"/>
                  </a:defRPr>
                </a:pPr>
                <a:r>
                  <a:rPr lang="en-US" sz="900" b="0" strike="noStrike" spc="-1">
                    <a:latin typeface="Arial"/>
                  </a:rPr>
                  <a:t>Power (W)</a:t>
                </a:r>
              </a:p>
            </c:rich>
          </c:tx>
          <c:overlay val="0"/>
          <c:spPr>
            <a:noFill/>
            <a:ln>
              <a:noFill/>
            </a:ln>
          </c:spPr>
        </c:title>
        <c:numFmt formatCode="General" sourceLinked="1"/>
        <c:majorTickMark val="out"/>
        <c:minorTickMark val="none"/>
        <c:tickLblPos val="nextTo"/>
        <c:spPr>
          <a:ln>
            <a:solidFill>
              <a:srgbClr val="B3B3B3"/>
            </a:solidFill>
          </a:ln>
        </c:spPr>
        <c:txPr>
          <a:bodyPr/>
          <a:lstStyle/>
          <a:p>
            <a:pPr>
              <a:defRPr sz="1000" b="0" strike="noStrike" spc="-1">
                <a:latin typeface="Arial"/>
              </a:defRPr>
            </a:pPr>
            <a:endParaRPr lang="en-US"/>
          </a:p>
        </c:txPr>
        <c:crossAx val="14146482"/>
        <c:crosses val="autoZero"/>
        <c:crossBetween val="midCat"/>
      </c:valAx>
      <c:spPr>
        <a:noFill/>
        <a:ln>
          <a:solidFill>
            <a:srgbClr val="B3B3B3"/>
          </a:solidFill>
        </a:ln>
      </c:spPr>
    </c:plotArea>
    <c:legend>
      <c:legendPos val="r"/>
      <c:overlay val="0"/>
      <c:spPr>
        <a:noFill/>
        <a:ln>
          <a:noFill/>
        </a:ln>
      </c:spPr>
      <c:txPr>
        <a:bodyPr/>
        <a:lstStyle/>
        <a:p>
          <a:pPr>
            <a:defRPr sz="1000" b="0" strike="noStrike" spc="-1">
              <a:latin typeface="Arial"/>
            </a:defRPr>
          </a:pPr>
          <a:endParaRPr lang="en-US"/>
        </a:p>
      </c:txPr>
    </c:legend>
    <c:plotVisOnly val="1"/>
    <c:dispBlanksAs val="span"/>
    <c:showDLblsOverMax val="1"/>
  </c:chart>
  <c:spPr>
    <a:solidFill>
      <a:srgbClr val="FFFFFF"/>
    </a:solid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300" b="0" strike="noStrike" spc="-1">
                <a:latin typeface="Arial"/>
              </a:defRPr>
            </a:pPr>
            <a:r>
              <a:rPr lang="en-US" sz="1300" b="0" strike="noStrike" spc="-1">
                <a:latin typeface="Arial"/>
              </a:rPr>
              <a:t>EFAULT Delay vs Vds</a:t>
            </a:r>
          </a:p>
        </c:rich>
      </c:tx>
      <c:overlay val="0"/>
      <c:spPr>
        <a:noFill/>
        <a:ln>
          <a:noFill/>
        </a:ln>
      </c:spPr>
    </c:title>
    <c:autoTitleDeleted val="0"/>
    <c:plotArea>
      <c:layout/>
      <c:scatterChart>
        <c:scatterStyle val="lineMarker"/>
        <c:varyColors val="0"/>
        <c:ser>
          <c:idx val="0"/>
          <c:order val="0"/>
          <c:tx>
            <c:strRef>
              <c:f>'EFAULT&amp;ESTART PINS'!$G$14</c:f>
              <c:strCache>
                <c:ptCount val="1"/>
                <c:pt idx="0">
                  <c:v>Delay (ms)
(calc)</c:v>
                </c:pt>
              </c:strCache>
            </c:strRef>
          </c:tx>
          <c:spPr>
            <a:ln w="28800">
              <a:solidFill>
                <a:srgbClr val="004586"/>
              </a:solidFill>
              <a:round/>
            </a:ln>
          </c:spPr>
          <c:marker>
            <c:symbol val="square"/>
            <c:size val="8"/>
            <c:spPr>
              <a:solidFill>
                <a:srgbClr val="004586"/>
              </a:solidFill>
            </c:spPr>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xVal>
            <c:numRef>
              <c:f>'EFAULT&amp;ESTART PINS'!$B$15:$B$18</c:f>
              <c:numCache>
                <c:formatCode>General</c:formatCode>
                <c:ptCount val="4"/>
                <c:pt idx="0">
                  <c:v>5.5</c:v>
                </c:pt>
                <c:pt idx="1">
                  <c:v>9</c:v>
                </c:pt>
                <c:pt idx="2">
                  <c:v>22</c:v>
                </c:pt>
                <c:pt idx="3">
                  <c:v>70</c:v>
                </c:pt>
              </c:numCache>
            </c:numRef>
          </c:xVal>
          <c:yVal>
            <c:numRef>
              <c:f>'EFAULT&amp;ESTART PINS'!$G$15:$G$18</c:f>
              <c:numCache>
                <c:formatCode>0.000</c:formatCode>
                <c:ptCount val="4"/>
                <c:pt idx="0">
                  <c:v>5.1626925672031163</c:v>
                </c:pt>
                <c:pt idx="1">
                  <c:v>2.5492294860387124</c:v>
                </c:pt>
                <c:pt idx="2">
                  <c:v>0.75296024713981713</c:v>
                </c:pt>
                <c:pt idx="3">
                  <c:v>5.0001000000000004E-2</c:v>
                </c:pt>
              </c:numCache>
            </c:numRef>
          </c:yVal>
          <c:smooth val="0"/>
          <c:extLst>
            <c:ext xmlns:c16="http://schemas.microsoft.com/office/drawing/2014/chart" uri="{C3380CC4-5D6E-409C-BE32-E72D297353CC}">
              <c16:uniqueId val="{00000000-9600-45F6-8C1C-AEBB76F4F78A}"/>
            </c:ext>
          </c:extLst>
        </c:ser>
        <c:ser>
          <c:idx val="1"/>
          <c:order val="1"/>
          <c:tx>
            <c:strRef>
              <c:f>'EFAULT&amp;ESTART PINS'!$H$14</c:f>
              <c:strCache>
                <c:ptCount val="1"/>
                <c:pt idx="0">
                  <c:v>Delay (ms)
(spec)</c:v>
                </c:pt>
              </c:strCache>
            </c:strRef>
          </c:tx>
          <c:spPr>
            <a:ln w="28800">
              <a:solidFill>
                <a:srgbClr val="FF420E"/>
              </a:solidFill>
              <a:round/>
            </a:ln>
          </c:spPr>
          <c:marker>
            <c:symbol val="diamond"/>
            <c:size val="8"/>
            <c:spPr>
              <a:solidFill>
                <a:srgbClr val="FF420E"/>
              </a:solidFill>
            </c:spPr>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xVal>
            <c:numRef>
              <c:f>'EFAULT&amp;ESTART PINS'!$B$15:$B$18</c:f>
              <c:numCache>
                <c:formatCode>General</c:formatCode>
                <c:ptCount val="4"/>
                <c:pt idx="0">
                  <c:v>5.5</c:v>
                </c:pt>
                <c:pt idx="1">
                  <c:v>9</c:v>
                </c:pt>
                <c:pt idx="2">
                  <c:v>22</c:v>
                </c:pt>
                <c:pt idx="3">
                  <c:v>70</c:v>
                </c:pt>
              </c:numCache>
            </c:numRef>
          </c:xVal>
          <c:yVal>
            <c:numRef>
              <c:f>'EFAULT&amp;ESTART PINS'!$H$15:$H$18</c:f>
              <c:numCache>
                <c:formatCode>0.00</c:formatCode>
                <c:ptCount val="4"/>
                <c:pt idx="0">
                  <c:v>100</c:v>
                </c:pt>
                <c:pt idx="1">
                  <c:v>10</c:v>
                </c:pt>
                <c:pt idx="2">
                  <c:v>1</c:v>
                </c:pt>
                <c:pt idx="3">
                  <c:v>0.1</c:v>
                </c:pt>
              </c:numCache>
            </c:numRef>
          </c:yVal>
          <c:smooth val="0"/>
          <c:extLst>
            <c:ext xmlns:c16="http://schemas.microsoft.com/office/drawing/2014/chart" uri="{C3380CC4-5D6E-409C-BE32-E72D297353CC}">
              <c16:uniqueId val="{00000001-9600-45F6-8C1C-AEBB76F4F78A}"/>
            </c:ext>
          </c:extLst>
        </c:ser>
        <c:dLbls>
          <c:showLegendKey val="0"/>
          <c:showVal val="0"/>
          <c:showCatName val="0"/>
          <c:showSerName val="0"/>
          <c:showPercent val="0"/>
          <c:showBubbleSize val="0"/>
        </c:dLbls>
        <c:axId val="93881455"/>
        <c:axId val="45629386"/>
      </c:scatterChart>
      <c:valAx>
        <c:axId val="93881455"/>
        <c:scaling>
          <c:logBase val="10"/>
          <c:orientation val="minMax"/>
          <c:max val="100"/>
          <c:min val="1"/>
        </c:scaling>
        <c:delete val="0"/>
        <c:axPos val="b"/>
        <c:minorGridlines>
          <c:spPr>
            <a:ln>
              <a:solidFill>
                <a:srgbClr val="DDDDDD"/>
              </a:solidFill>
            </a:ln>
          </c:spPr>
        </c:minorGridlines>
        <c:title>
          <c:tx>
            <c:rich>
              <a:bodyPr rot="0"/>
              <a:lstStyle/>
              <a:p>
                <a:pPr>
                  <a:defRPr sz="900" b="0" strike="noStrike" spc="-1">
                    <a:latin typeface="Arial"/>
                  </a:defRPr>
                </a:pPr>
                <a:r>
                  <a:rPr lang="en-US" sz="900" b="0" strike="noStrike" spc="-1">
                    <a:latin typeface="Arial"/>
                  </a:rPr>
                  <a:t>Vds</a:t>
                </a:r>
              </a:p>
            </c:rich>
          </c:tx>
          <c:overlay val="0"/>
          <c:spPr>
            <a:noFill/>
            <a:ln>
              <a:noFill/>
            </a:ln>
          </c:spPr>
        </c:title>
        <c:numFmt formatCode="General" sourceLinked="0"/>
        <c:majorTickMark val="out"/>
        <c:minorTickMark val="none"/>
        <c:tickLblPos val="nextTo"/>
        <c:spPr>
          <a:ln>
            <a:solidFill>
              <a:srgbClr val="B3B3B3"/>
            </a:solidFill>
          </a:ln>
        </c:spPr>
        <c:txPr>
          <a:bodyPr/>
          <a:lstStyle/>
          <a:p>
            <a:pPr>
              <a:defRPr sz="1000" b="0" strike="noStrike" spc="-1">
                <a:latin typeface="Arial"/>
              </a:defRPr>
            </a:pPr>
            <a:endParaRPr lang="en-US"/>
          </a:p>
        </c:txPr>
        <c:crossAx val="45629386"/>
        <c:crosses val="autoZero"/>
        <c:crossBetween val="midCat"/>
      </c:valAx>
      <c:valAx>
        <c:axId val="45629386"/>
        <c:scaling>
          <c:logBase val="10"/>
          <c:orientation val="minMax"/>
          <c:max val="200"/>
          <c:min val="0.01"/>
        </c:scaling>
        <c:delete val="0"/>
        <c:axPos val="l"/>
        <c:majorGridlines>
          <c:spPr>
            <a:ln>
              <a:solidFill>
                <a:srgbClr val="B3B3B3"/>
              </a:solidFill>
            </a:ln>
          </c:spPr>
        </c:majorGridlines>
        <c:minorGridlines>
          <c:spPr>
            <a:ln>
              <a:solidFill>
                <a:srgbClr val="DDDDDD"/>
              </a:solidFill>
            </a:ln>
          </c:spPr>
        </c:minorGridlines>
        <c:title>
          <c:tx>
            <c:rich>
              <a:bodyPr rot="-5400000"/>
              <a:lstStyle/>
              <a:p>
                <a:pPr>
                  <a:defRPr sz="900" b="0" strike="noStrike" spc="-1">
                    <a:latin typeface="Arial"/>
                  </a:defRPr>
                </a:pPr>
                <a:r>
                  <a:rPr lang="en-US" sz="900" b="0" strike="noStrike" spc="-1">
                    <a:latin typeface="Arial"/>
                  </a:rPr>
                  <a:t>Delay (ms)</a:t>
                </a:r>
              </a:p>
            </c:rich>
          </c:tx>
          <c:layout>
            <c:manualLayout>
              <c:xMode val="edge"/>
              <c:yMode val="edge"/>
              <c:x val="3.4439652478279903E-2"/>
              <c:y val="0.559728858762085"/>
            </c:manualLayout>
          </c:layout>
          <c:overlay val="0"/>
          <c:spPr>
            <a:noFill/>
            <a:ln>
              <a:noFill/>
            </a:ln>
          </c:spPr>
        </c:title>
        <c:numFmt formatCode="0.00" sourceLinked="0"/>
        <c:majorTickMark val="out"/>
        <c:minorTickMark val="none"/>
        <c:tickLblPos val="nextTo"/>
        <c:spPr>
          <a:ln>
            <a:solidFill>
              <a:srgbClr val="B3B3B3"/>
            </a:solidFill>
          </a:ln>
        </c:spPr>
        <c:txPr>
          <a:bodyPr/>
          <a:lstStyle/>
          <a:p>
            <a:pPr>
              <a:defRPr sz="1000" b="0" strike="noStrike" spc="-1">
                <a:latin typeface="Arial"/>
              </a:defRPr>
            </a:pPr>
            <a:endParaRPr lang="en-US"/>
          </a:p>
        </c:txPr>
        <c:crossAx val="93881455"/>
        <c:crosses val="autoZero"/>
        <c:crossBetween val="midCat"/>
      </c:valAx>
      <c:spPr>
        <a:noFill/>
        <a:ln>
          <a:solidFill>
            <a:srgbClr val="B3B3B3"/>
          </a:solidFill>
        </a:ln>
      </c:spPr>
    </c:plotArea>
    <c:legend>
      <c:legendPos val="r"/>
      <c:overlay val="0"/>
      <c:spPr>
        <a:noFill/>
        <a:ln>
          <a:noFill/>
        </a:ln>
      </c:spPr>
      <c:txPr>
        <a:bodyPr/>
        <a:lstStyle/>
        <a:p>
          <a:pPr>
            <a:defRPr sz="1000" b="0" strike="noStrike" spc="-1">
              <a:latin typeface="Arial"/>
            </a:defRPr>
          </a:pPr>
          <a:endParaRPr lang="en-US"/>
        </a:p>
      </c:txPr>
    </c:legend>
    <c:plotVisOnly val="1"/>
    <c:dispBlanksAs val="span"/>
    <c:showDLblsOverMax val="1"/>
  </c:chart>
  <c:spPr>
    <a:solidFill>
      <a:srgbClr val="FFFFFF"/>
    </a:solid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300" b="0" strike="noStrike" spc="-1">
                <a:latin typeface="Arial"/>
              </a:defRPr>
            </a:pPr>
            <a:r>
              <a:rPr lang="en-US" sz="1300" b="0" strike="noStrike" spc="-1">
                <a:latin typeface="Arial"/>
              </a:rPr>
              <a:t>ESTART Delay vs Vds</a:t>
            </a:r>
          </a:p>
        </c:rich>
      </c:tx>
      <c:overlay val="0"/>
      <c:spPr>
        <a:noFill/>
        <a:ln>
          <a:noFill/>
        </a:ln>
      </c:spPr>
    </c:title>
    <c:autoTitleDeleted val="0"/>
    <c:plotArea>
      <c:layout/>
      <c:scatterChart>
        <c:scatterStyle val="lineMarker"/>
        <c:varyColors val="0"/>
        <c:ser>
          <c:idx val="0"/>
          <c:order val="0"/>
          <c:tx>
            <c:strRef>
              <c:f>'EFAULT&amp;ESTART PINS'!$G$50</c:f>
              <c:strCache>
                <c:ptCount val="1"/>
                <c:pt idx="0">
                  <c:v>Delay (ms)
(calc)</c:v>
                </c:pt>
              </c:strCache>
            </c:strRef>
          </c:tx>
          <c:spPr>
            <a:ln w="28800">
              <a:solidFill>
                <a:srgbClr val="004586"/>
              </a:solidFill>
              <a:round/>
            </a:ln>
          </c:spPr>
          <c:marker>
            <c:symbol val="square"/>
            <c:size val="8"/>
            <c:spPr>
              <a:solidFill>
                <a:srgbClr val="004586"/>
              </a:solidFill>
            </c:spPr>
          </c:marker>
          <c:dLbls>
            <c:spPr>
              <a:noFill/>
              <a:ln>
                <a:noFill/>
              </a:ln>
              <a:effectLst/>
            </c:spPr>
            <c:txPr>
              <a:bodyPr/>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xVal>
            <c:numRef>
              <c:f>'EFAULT&amp;ESTART PINS'!$B$51:$B$54</c:f>
              <c:numCache>
                <c:formatCode>General</c:formatCode>
                <c:ptCount val="4"/>
                <c:pt idx="0">
                  <c:v>22</c:v>
                </c:pt>
                <c:pt idx="1">
                  <c:v>45</c:v>
                </c:pt>
                <c:pt idx="2">
                  <c:v>90</c:v>
                </c:pt>
                <c:pt idx="3">
                  <c:v>100</c:v>
                </c:pt>
              </c:numCache>
            </c:numRef>
          </c:xVal>
          <c:yVal>
            <c:numRef>
              <c:f>'EFAULT&amp;ESTART PINS'!$G$51:$G$54</c:f>
              <c:numCache>
                <c:formatCode>0.00</c:formatCode>
                <c:ptCount val="4"/>
                <c:pt idx="0">
                  <c:v>2.7030661283599557</c:v>
                </c:pt>
                <c:pt idx="1">
                  <c:v>1.0930337543683857</c:v>
                </c:pt>
                <c:pt idx="2">
                  <c:v>0.4824837905206778</c:v>
                </c:pt>
                <c:pt idx="3">
                  <c:v>0.42557410117301903</c:v>
                </c:pt>
              </c:numCache>
            </c:numRef>
          </c:yVal>
          <c:smooth val="0"/>
          <c:extLst>
            <c:ext xmlns:c16="http://schemas.microsoft.com/office/drawing/2014/chart" uri="{C3380CC4-5D6E-409C-BE32-E72D297353CC}">
              <c16:uniqueId val="{00000000-8B9E-4D29-84A4-B68AB12B4C10}"/>
            </c:ext>
          </c:extLst>
        </c:ser>
        <c:ser>
          <c:idx val="1"/>
          <c:order val="1"/>
          <c:tx>
            <c:strRef>
              <c:f>'EFAULT&amp;ESTART PINS'!$H$50</c:f>
              <c:strCache>
                <c:ptCount val="1"/>
                <c:pt idx="0">
                  <c:v>Delay (ms)
(spec)</c:v>
                </c:pt>
              </c:strCache>
            </c:strRef>
          </c:tx>
          <c:spPr>
            <a:ln w="28800">
              <a:solidFill>
                <a:srgbClr val="FF420E"/>
              </a:solidFill>
              <a:round/>
            </a:ln>
          </c:spPr>
          <c:marker>
            <c:symbol val="diamond"/>
            <c:size val="8"/>
            <c:spPr>
              <a:solidFill>
                <a:srgbClr val="FF420E"/>
              </a:solidFill>
            </c:spPr>
          </c:marker>
          <c:dLbls>
            <c:spPr>
              <a:noFill/>
              <a:ln>
                <a:noFill/>
              </a:ln>
              <a:effectLst/>
            </c:spPr>
            <c:txPr>
              <a:bodyPr/>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xVal>
            <c:numRef>
              <c:f>'EFAULT&amp;ESTART PINS'!$B$51:$B$54</c:f>
              <c:numCache>
                <c:formatCode>General</c:formatCode>
                <c:ptCount val="4"/>
                <c:pt idx="0">
                  <c:v>22</c:v>
                </c:pt>
                <c:pt idx="1">
                  <c:v>45</c:v>
                </c:pt>
                <c:pt idx="2">
                  <c:v>90</c:v>
                </c:pt>
                <c:pt idx="3">
                  <c:v>100</c:v>
                </c:pt>
              </c:numCache>
            </c:numRef>
          </c:xVal>
          <c:yVal>
            <c:numRef>
              <c:f>'EFAULT&amp;ESTART PINS'!$H$51:$H$54</c:f>
              <c:numCache>
                <c:formatCode>0.00</c:formatCode>
                <c:ptCount val="4"/>
                <c:pt idx="0">
                  <c:v>100</c:v>
                </c:pt>
                <c:pt idx="1">
                  <c:v>10</c:v>
                </c:pt>
                <c:pt idx="2">
                  <c:v>1</c:v>
                </c:pt>
                <c:pt idx="3">
                  <c:v>0.1</c:v>
                </c:pt>
              </c:numCache>
            </c:numRef>
          </c:yVal>
          <c:smooth val="0"/>
          <c:extLst>
            <c:ext xmlns:c16="http://schemas.microsoft.com/office/drawing/2014/chart" uri="{C3380CC4-5D6E-409C-BE32-E72D297353CC}">
              <c16:uniqueId val="{00000001-8B9E-4D29-84A4-B68AB12B4C10}"/>
            </c:ext>
          </c:extLst>
        </c:ser>
        <c:dLbls>
          <c:showLegendKey val="0"/>
          <c:showVal val="0"/>
          <c:showCatName val="0"/>
          <c:showSerName val="0"/>
          <c:showPercent val="0"/>
          <c:showBubbleSize val="0"/>
        </c:dLbls>
        <c:axId val="46071996"/>
        <c:axId val="25906568"/>
      </c:scatterChart>
      <c:valAx>
        <c:axId val="46071996"/>
        <c:scaling>
          <c:logBase val="10"/>
          <c:orientation val="minMax"/>
        </c:scaling>
        <c:delete val="0"/>
        <c:axPos val="b"/>
        <c:majorGridlines>
          <c:spPr>
            <a:ln>
              <a:solidFill>
                <a:srgbClr val="B3B3B3"/>
              </a:solidFill>
            </a:ln>
          </c:spPr>
        </c:majorGridlines>
        <c:minorGridlines>
          <c:spPr>
            <a:ln>
              <a:solidFill>
                <a:srgbClr val="DDDDDD"/>
              </a:solidFill>
            </a:ln>
          </c:spPr>
        </c:minorGridlines>
        <c:title>
          <c:tx>
            <c:rich>
              <a:bodyPr rot="0"/>
              <a:lstStyle/>
              <a:p>
                <a:pPr>
                  <a:defRPr sz="900" b="0" strike="noStrike" spc="-1">
                    <a:latin typeface="Arial"/>
                  </a:defRPr>
                </a:pPr>
                <a:r>
                  <a:rPr lang="en-US" sz="900" b="0" strike="noStrike" spc="-1">
                    <a:latin typeface="Arial"/>
                  </a:rPr>
                  <a:t>Vds</a:t>
                </a:r>
              </a:p>
            </c:rich>
          </c:tx>
          <c:overlay val="0"/>
          <c:spPr>
            <a:noFill/>
            <a:ln>
              <a:noFill/>
            </a:ln>
          </c:spPr>
        </c:title>
        <c:numFmt formatCode="General" sourceLinked="1"/>
        <c:majorTickMark val="out"/>
        <c:minorTickMark val="none"/>
        <c:tickLblPos val="nextTo"/>
        <c:spPr>
          <a:ln>
            <a:solidFill>
              <a:srgbClr val="B3B3B3"/>
            </a:solidFill>
          </a:ln>
        </c:spPr>
        <c:txPr>
          <a:bodyPr/>
          <a:lstStyle/>
          <a:p>
            <a:pPr>
              <a:defRPr sz="1000" b="0" strike="noStrike" spc="-1">
                <a:latin typeface="Arial"/>
              </a:defRPr>
            </a:pPr>
            <a:endParaRPr lang="en-US"/>
          </a:p>
        </c:txPr>
        <c:crossAx val="25906568"/>
        <c:crosses val="autoZero"/>
        <c:crossBetween val="midCat"/>
      </c:valAx>
      <c:valAx>
        <c:axId val="25906568"/>
        <c:scaling>
          <c:logBase val="10"/>
          <c:orientation val="minMax"/>
          <c:max val="200"/>
          <c:min val="0.01"/>
        </c:scaling>
        <c:delete val="0"/>
        <c:axPos val="l"/>
        <c:majorGridlines>
          <c:spPr>
            <a:ln>
              <a:solidFill>
                <a:srgbClr val="B3B3B3"/>
              </a:solidFill>
            </a:ln>
          </c:spPr>
        </c:majorGridlines>
        <c:minorGridlines>
          <c:spPr>
            <a:ln>
              <a:solidFill>
                <a:srgbClr val="DDDDDD"/>
              </a:solidFill>
            </a:ln>
          </c:spPr>
        </c:minorGridlines>
        <c:title>
          <c:tx>
            <c:rich>
              <a:bodyPr rot="-5400000"/>
              <a:lstStyle/>
              <a:p>
                <a:pPr>
                  <a:defRPr sz="900" b="0" strike="noStrike" spc="-1">
                    <a:latin typeface="Arial"/>
                  </a:defRPr>
                </a:pPr>
                <a:r>
                  <a:rPr lang="en-US" sz="900" b="0" strike="noStrike" spc="-1">
                    <a:latin typeface="Arial"/>
                  </a:rPr>
                  <a:t>Delay (ms)</a:t>
                </a:r>
              </a:p>
            </c:rich>
          </c:tx>
          <c:overlay val="0"/>
          <c:spPr>
            <a:noFill/>
            <a:ln>
              <a:noFill/>
            </a:ln>
          </c:spPr>
        </c:title>
        <c:numFmt formatCode="0.00" sourceLinked="1"/>
        <c:majorTickMark val="out"/>
        <c:minorTickMark val="none"/>
        <c:tickLblPos val="nextTo"/>
        <c:spPr>
          <a:ln>
            <a:solidFill>
              <a:srgbClr val="B3B3B3"/>
            </a:solidFill>
          </a:ln>
        </c:spPr>
        <c:txPr>
          <a:bodyPr/>
          <a:lstStyle/>
          <a:p>
            <a:pPr>
              <a:defRPr sz="1000" b="0" strike="noStrike" spc="-1">
                <a:latin typeface="Arial"/>
              </a:defRPr>
            </a:pPr>
            <a:endParaRPr lang="en-US"/>
          </a:p>
        </c:txPr>
        <c:crossAx val="46071996"/>
        <c:crosses val="autoZero"/>
        <c:crossBetween val="midCat"/>
      </c:valAx>
      <c:spPr>
        <a:noFill/>
        <a:ln>
          <a:solidFill>
            <a:srgbClr val="B3B3B3"/>
          </a:solidFill>
        </a:ln>
      </c:spPr>
    </c:plotArea>
    <c:legend>
      <c:legendPos val="r"/>
      <c:overlay val="0"/>
      <c:spPr>
        <a:noFill/>
        <a:ln>
          <a:noFill/>
        </a:ln>
      </c:spPr>
      <c:txPr>
        <a:bodyPr/>
        <a:lstStyle/>
        <a:p>
          <a:pPr>
            <a:defRPr sz="1000" b="0" strike="noStrike" spc="-1">
              <a:latin typeface="Arial"/>
            </a:defRPr>
          </a:pPr>
          <a:endParaRPr lang="en-US"/>
        </a:p>
      </c:txPr>
    </c:legend>
    <c:plotVisOnly val="1"/>
    <c:dispBlanksAs val="span"/>
    <c:showDLblsOverMax val="1"/>
  </c:chart>
  <c:spPr>
    <a:solidFill>
      <a:srgbClr val="FFFFFF"/>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lineChart>
        <c:grouping val="standard"/>
        <c:varyColors val="0"/>
        <c:ser>
          <c:idx val="0"/>
          <c:order val="0"/>
          <c:tx>
            <c:strRef>
              <c:f>'HIDDEN CALCULATIONS'!$A$1</c:f>
              <c:strCache>
                <c:ptCount val="1"/>
                <c:pt idx="0">
                  <c:v>Vin ramp</c:v>
                </c:pt>
              </c:strCache>
            </c:strRef>
          </c:tx>
          <c:spPr>
            <a:ln w="28800">
              <a:solidFill>
                <a:srgbClr val="000000"/>
              </a:solidFill>
              <a:round/>
            </a:ln>
          </c:spPr>
          <c:marker>
            <c:symbol val="none"/>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CALCULATIONS'!$A$2:$A$12</c:f>
              <c:numCache>
                <c:formatCode>General</c:formatCode>
                <c:ptCount val="11"/>
                <c:pt idx="0">
                  <c:v>0</c:v>
                </c:pt>
                <c:pt idx="1">
                  <c:v>6</c:v>
                </c:pt>
                <c:pt idx="2">
                  <c:v>12</c:v>
                </c:pt>
                <c:pt idx="3">
                  <c:v>18</c:v>
                </c:pt>
                <c:pt idx="4">
                  <c:v>24</c:v>
                </c:pt>
                <c:pt idx="5">
                  <c:v>30</c:v>
                </c:pt>
                <c:pt idx="6">
                  <c:v>36</c:v>
                </c:pt>
                <c:pt idx="7">
                  <c:v>42</c:v>
                </c:pt>
                <c:pt idx="8">
                  <c:v>48</c:v>
                </c:pt>
                <c:pt idx="9">
                  <c:v>54</c:v>
                </c:pt>
                <c:pt idx="10">
                  <c:v>60</c:v>
                </c:pt>
              </c:numCache>
            </c:numRef>
          </c:val>
          <c:smooth val="0"/>
          <c:extLst>
            <c:ext xmlns:c16="http://schemas.microsoft.com/office/drawing/2014/chart" uri="{C3380CC4-5D6E-409C-BE32-E72D297353CC}">
              <c16:uniqueId val="{00000000-F6E4-4DD4-A58F-F7E6E6F9305F}"/>
            </c:ext>
          </c:extLst>
        </c:ser>
        <c:ser>
          <c:idx val="1"/>
          <c:order val="1"/>
          <c:tx>
            <c:strRef>
              <c:f>'HIDDEN CALCULATIONS'!$B$1</c:f>
              <c:strCache>
                <c:ptCount val="1"/>
                <c:pt idx="0">
                  <c:v>V_uv_h</c:v>
                </c:pt>
              </c:strCache>
            </c:strRef>
          </c:tx>
          <c:spPr>
            <a:ln w="28800">
              <a:solidFill>
                <a:srgbClr val="3333FF"/>
              </a:solidFill>
              <a:round/>
            </a:ln>
          </c:spPr>
          <c:marker>
            <c:symbol val="none"/>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CALCULATIONS'!$B$2:$B$12</c:f>
              <c:numCache>
                <c:formatCode>0.00</c:formatCode>
                <c:ptCount val="11"/>
                <c:pt idx="0">
                  <c:v>41</c:v>
                </c:pt>
                <c:pt idx="1">
                  <c:v>41</c:v>
                </c:pt>
                <c:pt idx="2">
                  <c:v>41</c:v>
                </c:pt>
                <c:pt idx="3">
                  <c:v>41</c:v>
                </c:pt>
                <c:pt idx="4">
                  <c:v>41</c:v>
                </c:pt>
                <c:pt idx="5">
                  <c:v>41</c:v>
                </c:pt>
                <c:pt idx="6">
                  <c:v>41</c:v>
                </c:pt>
                <c:pt idx="7">
                  <c:v>41</c:v>
                </c:pt>
                <c:pt idx="8">
                  <c:v>41</c:v>
                </c:pt>
                <c:pt idx="9">
                  <c:v>41</c:v>
                </c:pt>
                <c:pt idx="10">
                  <c:v>41</c:v>
                </c:pt>
              </c:numCache>
            </c:numRef>
          </c:val>
          <c:smooth val="0"/>
          <c:extLst>
            <c:ext xmlns:c16="http://schemas.microsoft.com/office/drawing/2014/chart" uri="{C3380CC4-5D6E-409C-BE32-E72D297353CC}">
              <c16:uniqueId val="{00000001-F6E4-4DD4-A58F-F7E6E6F9305F}"/>
            </c:ext>
          </c:extLst>
        </c:ser>
        <c:ser>
          <c:idx val="2"/>
          <c:order val="2"/>
          <c:tx>
            <c:strRef>
              <c:f>'HIDDEN CALCULATIONS'!$C$1</c:f>
              <c:strCache>
                <c:ptCount val="1"/>
                <c:pt idx="0">
                  <c:v>V_uv_h(hi)</c:v>
                </c:pt>
              </c:strCache>
            </c:strRef>
          </c:tx>
          <c:spPr>
            <a:ln w="28800">
              <a:solidFill>
                <a:srgbClr val="3333FF"/>
              </a:solidFill>
              <a:round/>
            </a:ln>
          </c:spPr>
          <c:marker>
            <c:symbol val="diamond"/>
            <c:size val="8"/>
            <c:spPr>
              <a:solidFill>
                <a:srgbClr val="3333FF"/>
              </a:solidFill>
            </c:spPr>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CALCULATIONS'!$C$2:$C$12</c:f>
              <c:numCache>
                <c:formatCode>General</c:formatCode>
                <c:ptCount val="11"/>
                <c:pt idx="6">
                  <c:v>43.050000000000004</c:v>
                </c:pt>
                <c:pt idx="7">
                  <c:v>43.050000000000004</c:v>
                </c:pt>
              </c:numCache>
            </c:numRef>
          </c:val>
          <c:smooth val="0"/>
          <c:extLst>
            <c:ext xmlns:c16="http://schemas.microsoft.com/office/drawing/2014/chart" uri="{C3380CC4-5D6E-409C-BE32-E72D297353CC}">
              <c16:uniqueId val="{00000002-F6E4-4DD4-A58F-F7E6E6F9305F}"/>
            </c:ext>
          </c:extLst>
        </c:ser>
        <c:ser>
          <c:idx val="3"/>
          <c:order val="3"/>
          <c:tx>
            <c:strRef>
              <c:f>'HIDDEN CALCULATIONS'!$D$1</c:f>
              <c:strCache>
                <c:ptCount val="1"/>
                <c:pt idx="0">
                  <c:v>V_uv_h(low)</c:v>
                </c:pt>
              </c:strCache>
            </c:strRef>
          </c:tx>
          <c:spPr>
            <a:ln w="28800">
              <a:solidFill>
                <a:srgbClr val="3333FF"/>
              </a:solidFill>
              <a:round/>
            </a:ln>
          </c:spPr>
          <c:marker>
            <c:symbol val="diamond"/>
            <c:size val="8"/>
            <c:spPr>
              <a:solidFill>
                <a:srgbClr val="3333FF"/>
              </a:solidFill>
            </c:spPr>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CALCULATIONS'!$D$2:$D$12</c:f>
              <c:numCache>
                <c:formatCode>General</c:formatCode>
                <c:ptCount val="11"/>
                <c:pt idx="6">
                  <c:v>38.949999999999996</c:v>
                </c:pt>
                <c:pt idx="7">
                  <c:v>38.949999999999996</c:v>
                </c:pt>
              </c:numCache>
            </c:numRef>
          </c:val>
          <c:smooth val="0"/>
          <c:extLst>
            <c:ext xmlns:c16="http://schemas.microsoft.com/office/drawing/2014/chart" uri="{C3380CC4-5D6E-409C-BE32-E72D297353CC}">
              <c16:uniqueId val="{00000003-F6E4-4DD4-A58F-F7E6E6F9305F}"/>
            </c:ext>
          </c:extLst>
        </c:ser>
        <c:ser>
          <c:idx val="4"/>
          <c:order val="4"/>
          <c:tx>
            <c:strRef>
              <c:f>'HIDDEN CALCULATIONS'!$E$1</c:f>
              <c:strCache>
                <c:ptCount val="1"/>
                <c:pt idx="0">
                  <c:v>Vuv_l</c:v>
                </c:pt>
              </c:strCache>
            </c:strRef>
          </c:tx>
          <c:spPr>
            <a:ln w="28800">
              <a:solidFill>
                <a:srgbClr val="CC0000"/>
              </a:solidFill>
              <a:round/>
            </a:ln>
          </c:spPr>
          <c:marker>
            <c:symbol val="none"/>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CALCULATIONS'!$E$2:$E$12</c:f>
              <c:numCache>
                <c:formatCode>0.00</c:formatCode>
                <c:ptCount val="11"/>
                <c:pt idx="0">
                  <c:v>39</c:v>
                </c:pt>
                <c:pt idx="1">
                  <c:v>39</c:v>
                </c:pt>
                <c:pt idx="2">
                  <c:v>39</c:v>
                </c:pt>
                <c:pt idx="3">
                  <c:v>39</c:v>
                </c:pt>
                <c:pt idx="4">
                  <c:v>39</c:v>
                </c:pt>
                <c:pt idx="5">
                  <c:v>39</c:v>
                </c:pt>
                <c:pt idx="6">
                  <c:v>39</c:v>
                </c:pt>
                <c:pt idx="7">
                  <c:v>39</c:v>
                </c:pt>
                <c:pt idx="8">
                  <c:v>39</c:v>
                </c:pt>
                <c:pt idx="9">
                  <c:v>39</c:v>
                </c:pt>
                <c:pt idx="10">
                  <c:v>39</c:v>
                </c:pt>
              </c:numCache>
            </c:numRef>
          </c:val>
          <c:smooth val="0"/>
          <c:extLst>
            <c:ext xmlns:c16="http://schemas.microsoft.com/office/drawing/2014/chart" uri="{C3380CC4-5D6E-409C-BE32-E72D297353CC}">
              <c16:uniqueId val="{00000004-F6E4-4DD4-A58F-F7E6E6F9305F}"/>
            </c:ext>
          </c:extLst>
        </c:ser>
        <c:ser>
          <c:idx val="5"/>
          <c:order val="5"/>
          <c:tx>
            <c:strRef>
              <c:f>'HIDDEN CALCULATIONS'!$F$1</c:f>
              <c:strCache>
                <c:ptCount val="1"/>
                <c:pt idx="0">
                  <c:v>Vuv_l(hi)</c:v>
                </c:pt>
              </c:strCache>
            </c:strRef>
          </c:tx>
          <c:spPr>
            <a:ln w="28800">
              <a:solidFill>
                <a:srgbClr val="CC0000"/>
              </a:solidFill>
              <a:round/>
            </a:ln>
          </c:spPr>
          <c:marker>
            <c:symbol val="diamond"/>
            <c:size val="8"/>
            <c:spPr>
              <a:solidFill>
                <a:srgbClr val="CC0000"/>
              </a:solidFill>
            </c:spPr>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CALCULATIONS'!$F$2:$F$12</c:f>
              <c:numCache>
                <c:formatCode>General</c:formatCode>
                <c:ptCount val="11"/>
                <c:pt idx="5">
                  <c:v>40.56</c:v>
                </c:pt>
                <c:pt idx="6">
                  <c:v>40.56</c:v>
                </c:pt>
              </c:numCache>
            </c:numRef>
          </c:val>
          <c:smooth val="0"/>
          <c:extLst>
            <c:ext xmlns:c16="http://schemas.microsoft.com/office/drawing/2014/chart" uri="{C3380CC4-5D6E-409C-BE32-E72D297353CC}">
              <c16:uniqueId val="{00000005-F6E4-4DD4-A58F-F7E6E6F9305F}"/>
            </c:ext>
          </c:extLst>
        </c:ser>
        <c:ser>
          <c:idx val="6"/>
          <c:order val="6"/>
          <c:tx>
            <c:strRef>
              <c:f>'HIDDEN CALCULATIONS'!$G$1</c:f>
              <c:strCache>
                <c:ptCount val="1"/>
                <c:pt idx="0">
                  <c:v>Vuv_l(low)</c:v>
                </c:pt>
              </c:strCache>
            </c:strRef>
          </c:tx>
          <c:spPr>
            <a:ln w="28800">
              <a:solidFill>
                <a:srgbClr val="CC0000"/>
              </a:solidFill>
              <a:round/>
            </a:ln>
          </c:spPr>
          <c:marker>
            <c:symbol val="diamond"/>
            <c:size val="8"/>
            <c:spPr>
              <a:solidFill>
                <a:srgbClr val="CC0000"/>
              </a:solidFill>
            </c:spPr>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CALCULATIONS'!$G$2:$G$12</c:f>
              <c:numCache>
                <c:formatCode>General</c:formatCode>
                <c:ptCount val="11"/>
                <c:pt idx="5">
                  <c:v>37.44</c:v>
                </c:pt>
                <c:pt idx="6">
                  <c:v>37.44</c:v>
                </c:pt>
              </c:numCache>
            </c:numRef>
          </c:val>
          <c:smooth val="0"/>
          <c:extLst>
            <c:ext xmlns:c16="http://schemas.microsoft.com/office/drawing/2014/chart" uri="{C3380CC4-5D6E-409C-BE32-E72D297353CC}">
              <c16:uniqueId val="{00000006-F6E4-4DD4-A58F-F7E6E6F9305F}"/>
            </c:ext>
          </c:extLst>
        </c:ser>
        <c:ser>
          <c:idx val="7"/>
          <c:order val="7"/>
          <c:tx>
            <c:strRef>
              <c:f>'HIDDEN CALCULATIONS'!$H$1</c:f>
              <c:strCache>
                <c:ptCount val="1"/>
                <c:pt idx="0">
                  <c:v>Vov</c:v>
                </c:pt>
              </c:strCache>
            </c:strRef>
          </c:tx>
          <c:spPr>
            <a:ln w="28800">
              <a:solidFill>
                <a:srgbClr val="CC0000"/>
              </a:solidFill>
              <a:round/>
            </a:ln>
          </c:spPr>
          <c:marker>
            <c:symbol val="none"/>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CALCULATIONS'!$H$2:$H$12</c:f>
              <c:numCache>
                <c:formatCode>0.00</c:formatCode>
                <c:ptCount val="11"/>
                <c:pt idx="0">
                  <c:v>60</c:v>
                </c:pt>
                <c:pt idx="1">
                  <c:v>60</c:v>
                </c:pt>
                <c:pt idx="2">
                  <c:v>60</c:v>
                </c:pt>
                <c:pt idx="3">
                  <c:v>60</c:v>
                </c:pt>
                <c:pt idx="4">
                  <c:v>60</c:v>
                </c:pt>
                <c:pt idx="5">
                  <c:v>60</c:v>
                </c:pt>
                <c:pt idx="6">
                  <c:v>60</c:v>
                </c:pt>
                <c:pt idx="7">
                  <c:v>60</c:v>
                </c:pt>
                <c:pt idx="8">
                  <c:v>60</c:v>
                </c:pt>
                <c:pt idx="9">
                  <c:v>60</c:v>
                </c:pt>
                <c:pt idx="10">
                  <c:v>60</c:v>
                </c:pt>
              </c:numCache>
            </c:numRef>
          </c:val>
          <c:smooth val="0"/>
          <c:extLst>
            <c:ext xmlns:c16="http://schemas.microsoft.com/office/drawing/2014/chart" uri="{C3380CC4-5D6E-409C-BE32-E72D297353CC}">
              <c16:uniqueId val="{00000007-F6E4-4DD4-A58F-F7E6E6F9305F}"/>
            </c:ext>
          </c:extLst>
        </c:ser>
        <c:ser>
          <c:idx val="8"/>
          <c:order val="8"/>
          <c:tx>
            <c:strRef>
              <c:f>'HIDDEN CALCULATIONS'!$I$1</c:f>
              <c:strCache>
                <c:ptCount val="1"/>
                <c:pt idx="0">
                  <c:v>Vov(hi)</c:v>
                </c:pt>
              </c:strCache>
            </c:strRef>
          </c:tx>
          <c:spPr>
            <a:ln w="28800">
              <a:solidFill>
                <a:srgbClr val="CC0000"/>
              </a:solidFill>
              <a:round/>
            </a:ln>
          </c:spPr>
          <c:marker>
            <c:symbol val="diamond"/>
            <c:size val="8"/>
            <c:spPr>
              <a:solidFill>
                <a:srgbClr val="CC0000"/>
              </a:solidFill>
            </c:spPr>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CALCULATIONS'!$I$2:$I$12</c:f>
              <c:numCache>
                <c:formatCode>General</c:formatCode>
                <c:ptCount val="11"/>
                <c:pt idx="9">
                  <c:v>62.400000000000006</c:v>
                </c:pt>
                <c:pt idx="10">
                  <c:v>62.400000000000006</c:v>
                </c:pt>
              </c:numCache>
            </c:numRef>
          </c:val>
          <c:smooth val="0"/>
          <c:extLst>
            <c:ext xmlns:c16="http://schemas.microsoft.com/office/drawing/2014/chart" uri="{C3380CC4-5D6E-409C-BE32-E72D297353CC}">
              <c16:uniqueId val="{00000008-F6E4-4DD4-A58F-F7E6E6F9305F}"/>
            </c:ext>
          </c:extLst>
        </c:ser>
        <c:ser>
          <c:idx val="9"/>
          <c:order val="9"/>
          <c:tx>
            <c:strRef>
              <c:f>'HIDDEN CALCULATIONS'!$J$1</c:f>
              <c:strCache>
                <c:ptCount val="1"/>
                <c:pt idx="0">
                  <c:v>Vov(low)</c:v>
                </c:pt>
              </c:strCache>
            </c:strRef>
          </c:tx>
          <c:spPr>
            <a:ln w="28800">
              <a:solidFill>
                <a:srgbClr val="CC0000"/>
              </a:solidFill>
              <a:round/>
            </a:ln>
          </c:spPr>
          <c:marker>
            <c:symbol val="diamond"/>
            <c:size val="8"/>
            <c:spPr>
              <a:solidFill>
                <a:srgbClr val="CC0000"/>
              </a:solidFill>
            </c:spPr>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CALCULATIONS'!$J$2:$J$12</c:f>
              <c:numCache>
                <c:formatCode>General</c:formatCode>
                <c:ptCount val="11"/>
                <c:pt idx="9">
                  <c:v>57.599999999999994</c:v>
                </c:pt>
                <c:pt idx="10">
                  <c:v>57.599999999999994</c:v>
                </c:pt>
              </c:numCache>
            </c:numRef>
          </c:val>
          <c:smooth val="0"/>
          <c:extLst>
            <c:ext xmlns:c16="http://schemas.microsoft.com/office/drawing/2014/chart" uri="{C3380CC4-5D6E-409C-BE32-E72D297353CC}">
              <c16:uniqueId val="{00000009-F6E4-4DD4-A58F-F7E6E6F9305F}"/>
            </c:ext>
          </c:extLst>
        </c:ser>
        <c:ser>
          <c:idx val="10"/>
          <c:order val="10"/>
          <c:tx>
            <c:strRef>
              <c:f>'HIDDEN CALCULATIONS'!$L$1</c:f>
              <c:strCache>
                <c:ptCount val="1"/>
                <c:pt idx="0">
                  <c:v>V_op_min</c:v>
                </c:pt>
              </c:strCache>
            </c:strRef>
          </c:tx>
          <c:spPr>
            <a:ln w="28800">
              <a:solidFill>
                <a:srgbClr val="FF00CC"/>
              </a:solidFill>
              <a:round/>
            </a:ln>
          </c:spPr>
          <c:marker>
            <c:symbol val="none"/>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CALCULATIONS'!$L$2:$L$12</c:f>
              <c:numCache>
                <c:formatCode>General</c:formatCode>
                <c:ptCount val="11"/>
                <c:pt idx="5">
                  <c:v>41</c:v>
                </c:pt>
                <c:pt idx="6">
                  <c:v>41</c:v>
                </c:pt>
                <c:pt idx="7">
                  <c:v>41</c:v>
                </c:pt>
                <c:pt idx="8">
                  <c:v>41</c:v>
                </c:pt>
                <c:pt idx="9">
                  <c:v>41</c:v>
                </c:pt>
                <c:pt idx="10">
                  <c:v>41</c:v>
                </c:pt>
              </c:numCache>
            </c:numRef>
          </c:val>
          <c:smooth val="0"/>
          <c:extLst>
            <c:ext xmlns:c16="http://schemas.microsoft.com/office/drawing/2014/chart" uri="{C3380CC4-5D6E-409C-BE32-E72D297353CC}">
              <c16:uniqueId val="{0000000A-F6E4-4DD4-A58F-F7E6E6F9305F}"/>
            </c:ext>
          </c:extLst>
        </c:ser>
        <c:ser>
          <c:idx val="11"/>
          <c:order val="11"/>
          <c:tx>
            <c:strRef>
              <c:f>'HIDDEN CALCULATIONS'!$M$1</c:f>
              <c:strCache>
                <c:ptCount val="1"/>
                <c:pt idx="0">
                  <c:v>V_op_typ</c:v>
                </c:pt>
              </c:strCache>
            </c:strRef>
          </c:tx>
          <c:spPr>
            <a:ln w="28800">
              <a:solidFill>
                <a:srgbClr val="FF00CC"/>
              </a:solidFill>
              <a:round/>
            </a:ln>
          </c:spPr>
          <c:marker>
            <c:symbol val="none"/>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CALCULATIONS'!$M$2:$M$12</c:f>
              <c:numCache>
                <c:formatCode>General</c:formatCode>
                <c:ptCount val="11"/>
                <c:pt idx="6">
                  <c:v>48</c:v>
                </c:pt>
                <c:pt idx="7">
                  <c:v>48</c:v>
                </c:pt>
                <c:pt idx="8">
                  <c:v>48</c:v>
                </c:pt>
                <c:pt idx="9">
                  <c:v>48</c:v>
                </c:pt>
                <c:pt idx="10">
                  <c:v>48</c:v>
                </c:pt>
              </c:numCache>
            </c:numRef>
          </c:val>
          <c:smooth val="0"/>
          <c:extLst>
            <c:ext xmlns:c16="http://schemas.microsoft.com/office/drawing/2014/chart" uri="{C3380CC4-5D6E-409C-BE32-E72D297353CC}">
              <c16:uniqueId val="{0000000B-F6E4-4DD4-A58F-F7E6E6F9305F}"/>
            </c:ext>
          </c:extLst>
        </c:ser>
        <c:ser>
          <c:idx val="12"/>
          <c:order val="12"/>
          <c:tx>
            <c:strRef>
              <c:f>'HIDDEN CALCULATIONS'!$N$1</c:f>
              <c:strCache>
                <c:ptCount val="1"/>
                <c:pt idx="0">
                  <c:v>V_op_max</c:v>
                </c:pt>
              </c:strCache>
            </c:strRef>
          </c:tx>
          <c:spPr>
            <a:ln w="28800">
              <a:solidFill>
                <a:srgbClr val="FF00CC"/>
              </a:solidFill>
              <a:round/>
            </a:ln>
          </c:spPr>
          <c:marker>
            <c:symbol val="none"/>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CALCULATIONS'!$N$2:$N$12</c:f>
              <c:numCache>
                <c:formatCode>General</c:formatCode>
                <c:ptCount val="11"/>
                <c:pt idx="7">
                  <c:v>60</c:v>
                </c:pt>
                <c:pt idx="8">
                  <c:v>60</c:v>
                </c:pt>
                <c:pt idx="9">
                  <c:v>60</c:v>
                </c:pt>
                <c:pt idx="10">
                  <c:v>60</c:v>
                </c:pt>
              </c:numCache>
            </c:numRef>
          </c:val>
          <c:smooth val="0"/>
          <c:extLst>
            <c:ext xmlns:c16="http://schemas.microsoft.com/office/drawing/2014/chart" uri="{C3380CC4-5D6E-409C-BE32-E72D297353CC}">
              <c16:uniqueId val="{0000000C-F6E4-4DD4-A58F-F7E6E6F9305F}"/>
            </c:ext>
          </c:extLst>
        </c:ser>
        <c:ser>
          <c:idx val="13"/>
          <c:order val="13"/>
          <c:tx>
            <c:strRef>
              <c:f>'HIDDEN CALCULATIONS'!$K$1</c:f>
              <c:strCache>
                <c:ptCount val="1"/>
                <c:pt idx="0">
                  <c:v>V_pgood</c:v>
                </c:pt>
              </c:strCache>
            </c:strRef>
          </c:tx>
          <c:spPr>
            <a:ln w="28800">
              <a:solidFill>
                <a:srgbClr val="00CC00"/>
              </a:solidFill>
              <a:round/>
            </a:ln>
          </c:spPr>
          <c:marker>
            <c:symbol val="none"/>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'HIDDEN CALCULATIONS'!$K$2:$K$12</c:f>
              <c:numCache>
                <c:formatCode>0.00</c:formatCode>
                <c:ptCount val="11"/>
                <c:pt idx="0">
                  <c:v>40</c:v>
                </c:pt>
                <c:pt idx="1">
                  <c:v>40</c:v>
                </c:pt>
                <c:pt idx="2">
                  <c:v>40</c:v>
                </c:pt>
                <c:pt idx="3">
                  <c:v>40</c:v>
                </c:pt>
                <c:pt idx="4">
                  <c:v>40</c:v>
                </c:pt>
                <c:pt idx="5">
                  <c:v>40</c:v>
                </c:pt>
                <c:pt idx="6">
                  <c:v>40</c:v>
                </c:pt>
                <c:pt idx="7">
                  <c:v>40</c:v>
                </c:pt>
                <c:pt idx="8">
                  <c:v>40</c:v>
                </c:pt>
                <c:pt idx="9">
                  <c:v>40</c:v>
                </c:pt>
                <c:pt idx="10">
                  <c:v>40</c:v>
                </c:pt>
              </c:numCache>
            </c:numRef>
          </c:val>
          <c:smooth val="0"/>
          <c:extLst>
            <c:ext xmlns:c16="http://schemas.microsoft.com/office/drawing/2014/chart" uri="{C3380CC4-5D6E-409C-BE32-E72D297353CC}">
              <c16:uniqueId val="{0000000D-F6E4-4DD4-A58F-F7E6E6F9305F}"/>
            </c:ext>
          </c:extLst>
        </c:ser>
        <c:dLbls>
          <c:showLegendKey val="0"/>
          <c:showVal val="0"/>
          <c:showCatName val="0"/>
          <c:showSerName val="0"/>
          <c:showPercent val="0"/>
          <c:showBubbleSize val="0"/>
        </c:dLbls>
        <c:hiLowLines>
          <c:spPr>
            <a:ln>
              <a:noFill/>
            </a:ln>
          </c:spPr>
        </c:hiLowLines>
        <c:smooth val="0"/>
        <c:axId val="47683932"/>
        <c:axId val="19930075"/>
      </c:lineChart>
      <c:catAx>
        <c:axId val="47683932"/>
        <c:scaling>
          <c:orientation val="minMax"/>
        </c:scaling>
        <c:delete val="0"/>
        <c:axPos val="b"/>
        <c:numFmt formatCode="General" sourceLinked="1"/>
        <c:majorTickMark val="out"/>
        <c:minorTickMark val="none"/>
        <c:tickLblPos val="nextTo"/>
        <c:spPr>
          <a:ln>
            <a:solidFill>
              <a:srgbClr val="B3B3B3"/>
            </a:solidFill>
          </a:ln>
        </c:spPr>
        <c:txPr>
          <a:bodyPr/>
          <a:lstStyle/>
          <a:p>
            <a:pPr>
              <a:defRPr sz="1000" b="0" strike="noStrike" spc="-1">
                <a:latin typeface="Arial"/>
              </a:defRPr>
            </a:pPr>
            <a:endParaRPr lang="en-US"/>
          </a:p>
        </c:txPr>
        <c:crossAx val="19930075"/>
        <c:crosses val="autoZero"/>
        <c:auto val="1"/>
        <c:lblAlgn val="ctr"/>
        <c:lblOffset val="100"/>
        <c:noMultiLvlLbl val="1"/>
      </c:catAx>
      <c:valAx>
        <c:axId val="19930075"/>
        <c:scaling>
          <c:orientation val="minMax"/>
        </c:scaling>
        <c:delete val="0"/>
        <c:axPos val="l"/>
        <c:title>
          <c:tx>
            <c:rich>
              <a:bodyPr rot="-5400000"/>
              <a:lstStyle/>
              <a:p>
                <a:pPr>
                  <a:defRPr sz="900" b="0" strike="noStrike" spc="-1">
                    <a:latin typeface="Arial"/>
                  </a:defRPr>
                </a:pPr>
                <a:r>
                  <a:rPr sz="900" b="0" strike="noStrike" spc="-1">
                    <a:latin typeface="Arial"/>
                  </a:rPr>
                  <a:t>Voltage</a:t>
                </a:r>
              </a:p>
            </c:rich>
          </c:tx>
          <c:overlay val="0"/>
          <c:spPr>
            <a:noFill/>
            <a:ln>
              <a:noFill/>
            </a:ln>
          </c:spPr>
        </c:title>
        <c:numFmt formatCode="General" sourceLinked="0"/>
        <c:majorTickMark val="out"/>
        <c:minorTickMark val="none"/>
        <c:tickLblPos val="nextTo"/>
        <c:spPr>
          <a:ln>
            <a:solidFill>
              <a:srgbClr val="B3B3B3"/>
            </a:solidFill>
          </a:ln>
        </c:spPr>
        <c:txPr>
          <a:bodyPr/>
          <a:lstStyle/>
          <a:p>
            <a:pPr>
              <a:defRPr sz="1000" b="0" strike="noStrike" spc="-1">
                <a:latin typeface="Arial"/>
              </a:defRPr>
            </a:pPr>
            <a:endParaRPr lang="en-US"/>
          </a:p>
        </c:txPr>
        <c:crossAx val="47683932"/>
        <c:crosses val="autoZero"/>
        <c:crossBetween val="midCat"/>
      </c:valAx>
      <c:spPr>
        <a:noFill/>
        <a:ln>
          <a:solidFill>
            <a:srgbClr val="B3B3B3"/>
          </a:solidFill>
        </a:ln>
      </c:spPr>
    </c:plotArea>
    <c:legend>
      <c:legendPos val="r"/>
      <c:overlay val="0"/>
      <c:spPr>
        <a:noFill/>
        <a:ln>
          <a:noFill/>
        </a:ln>
      </c:spPr>
      <c:txPr>
        <a:bodyPr/>
        <a:lstStyle/>
        <a:p>
          <a:pPr>
            <a:defRPr sz="1000" b="0" strike="noStrike" spc="-1">
              <a:latin typeface="Arial"/>
            </a:defRPr>
          </a:pPr>
          <a:endParaRPr lang="en-US"/>
        </a:p>
      </c:txPr>
    </c:legend>
    <c:plotVisOnly val="1"/>
    <c:dispBlanksAs val="gap"/>
    <c:showDLblsOverMax val="1"/>
  </c:chart>
  <c:spPr>
    <a:solidFill>
      <a:srgbClr val="FFFFFF"/>
    </a:solid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chart" Target="../charts/chart3.xml"/><Relationship Id="rId1" Type="http://schemas.openxmlformats.org/officeDocument/2006/relationships/image" Target="../media/image8.png"/><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1202100</xdr:colOff>
      <xdr:row>3</xdr:row>
      <xdr:rowOff>129915</xdr:rowOff>
    </xdr:to>
    <xdr:pic>
      <xdr:nvPicPr>
        <xdr:cNvPr id="2" name="Image 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0" y="0"/>
          <a:ext cx="2007000" cy="611640"/>
        </a:xfrm>
        <a:prstGeom prst="rect">
          <a:avLst/>
        </a:prstGeom>
        <a:ln>
          <a:noFill/>
        </a:ln>
      </xdr:spPr>
    </xdr:pic>
    <xdr:clientData/>
  </xdr:twoCellAnchor>
  <xdr:twoCellAnchor editAs="absolute">
    <xdr:from>
      <xdr:col>1</xdr:col>
      <xdr:colOff>1348860</xdr:colOff>
      <xdr:row>0</xdr:row>
      <xdr:rowOff>17370</xdr:rowOff>
    </xdr:from>
    <xdr:to>
      <xdr:col>7</xdr:col>
      <xdr:colOff>250965</xdr:colOff>
      <xdr:row>3</xdr:row>
      <xdr:rowOff>95760</xdr:rowOff>
    </xdr:to>
    <xdr:pic>
      <xdr:nvPicPr>
        <xdr:cNvPr id="3" name="Image 1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2169000" y="28800"/>
          <a:ext cx="8523000" cy="554400"/>
        </a:xfrm>
        <a:prstGeom prst="rect">
          <a:avLst/>
        </a:prstGeom>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257400</xdr:colOff>
      <xdr:row>14</xdr:row>
      <xdr:rowOff>52560</xdr:rowOff>
    </xdr:from>
    <xdr:to>
      <xdr:col>7</xdr:col>
      <xdr:colOff>327240</xdr:colOff>
      <xdr:row>34</xdr:row>
      <xdr:rowOff>40680</xdr:rowOff>
    </xdr:to>
    <xdr:graphicFrame macro="">
      <xdr:nvGraphicFramePr>
        <xdr:cNvPr id="17" name="Chart 16">
          <a:extLst>
            <a:ext uri="{FF2B5EF4-FFF2-40B4-BE49-F238E27FC236}">
              <a16:creationId xmlns:a16="http://schemas.microsoft.com/office/drawing/2014/main" id="{00000000-0008-0000-0C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45720</xdr:colOff>
      <xdr:row>25</xdr:row>
      <xdr:rowOff>111600</xdr:rowOff>
    </xdr:from>
    <xdr:to>
      <xdr:col>4</xdr:col>
      <xdr:colOff>1331790</xdr:colOff>
      <xdr:row>45</xdr:row>
      <xdr:rowOff>95550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5040</xdr:colOff>
      <xdr:row>0</xdr:row>
      <xdr:rowOff>222840</xdr:rowOff>
    </xdr:from>
    <xdr:to>
      <xdr:col>15</xdr:col>
      <xdr:colOff>420690</xdr:colOff>
      <xdr:row>26</xdr:row>
      <xdr:rowOff>55950</xdr:rowOff>
    </xdr:to>
    <xdr:pic>
      <xdr:nvPicPr>
        <xdr:cNvPr id="3" name="Imag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stretch/>
      </xdr:blipFill>
      <xdr:spPr>
        <a:xfrm>
          <a:off x="9318960" y="222840"/>
          <a:ext cx="8539920" cy="487548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149100</xdr:colOff>
      <xdr:row>2</xdr:row>
      <xdr:rowOff>125160</xdr:rowOff>
    </xdr:from>
    <xdr:to>
      <xdr:col>11</xdr:col>
      <xdr:colOff>140130</xdr:colOff>
      <xdr:row>19</xdr:row>
      <xdr:rowOff>94635</xdr:rowOff>
    </xdr:to>
    <xdr:pic>
      <xdr:nvPicPr>
        <xdr:cNvPr id="4" name="Image 9">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stretch/>
      </xdr:blipFill>
      <xdr:spPr>
        <a:xfrm>
          <a:off x="8957820" y="776670"/>
          <a:ext cx="4631610" cy="3722325"/>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47880</xdr:colOff>
      <xdr:row>1</xdr:row>
      <xdr:rowOff>11160</xdr:rowOff>
    </xdr:from>
    <xdr:to>
      <xdr:col>11</xdr:col>
      <xdr:colOff>324720</xdr:colOff>
      <xdr:row>12</xdr:row>
      <xdr:rowOff>132420</xdr:rowOff>
    </xdr:to>
    <xdr:pic>
      <xdr:nvPicPr>
        <xdr:cNvPr id="5" name="Image 3">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a:stretch/>
      </xdr:blipFill>
      <xdr:spPr>
        <a:xfrm>
          <a:off x="9361080" y="313920"/>
          <a:ext cx="5153760" cy="2622600"/>
        </a:xfrm>
        <a:prstGeom prst="rect">
          <a:avLst/>
        </a:prstGeom>
        <a:ln>
          <a:noFill/>
        </a:ln>
      </xdr:spPr>
    </xdr:pic>
    <xdr:clientData/>
  </xdr:twoCellAnchor>
  <xdr:twoCellAnchor editAs="oneCell">
    <xdr:from>
      <xdr:col>6</xdr:col>
      <xdr:colOff>358140</xdr:colOff>
      <xdr:row>16</xdr:row>
      <xdr:rowOff>190500</xdr:rowOff>
    </xdr:from>
    <xdr:to>
      <xdr:col>12</xdr:col>
      <xdr:colOff>146117</xdr:colOff>
      <xdr:row>39</xdr:row>
      <xdr:rowOff>56643</xdr:rowOff>
    </xdr:to>
    <xdr:pic>
      <xdr:nvPicPr>
        <xdr:cNvPr id="2" name="Picture 1">
          <a:extLst>
            <a:ext uri="{FF2B5EF4-FFF2-40B4-BE49-F238E27FC236}">
              <a16:creationId xmlns:a16="http://schemas.microsoft.com/office/drawing/2014/main" id="{434D7984-BE96-4FDF-8762-B3CAF5E60680}"/>
            </a:ext>
          </a:extLst>
        </xdr:cNvPr>
        <xdr:cNvPicPr>
          <a:picLocks noChangeAspect="1"/>
        </xdr:cNvPicPr>
      </xdr:nvPicPr>
      <xdr:blipFill>
        <a:blip xmlns:r="http://schemas.openxmlformats.org/officeDocument/2006/relationships" r:embed="rId2"/>
        <a:stretch>
          <a:fillRect/>
        </a:stretch>
      </xdr:blipFill>
      <xdr:spPr>
        <a:xfrm>
          <a:off x="10195560" y="4716780"/>
          <a:ext cx="4542857" cy="40571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22293</xdr:colOff>
      <xdr:row>2</xdr:row>
      <xdr:rowOff>56987</xdr:rowOff>
    </xdr:from>
    <xdr:to>
      <xdr:col>12</xdr:col>
      <xdr:colOff>102178</xdr:colOff>
      <xdr:row>28</xdr:row>
      <xdr:rowOff>58201</xdr:rowOff>
    </xdr:to>
    <xdr:pic>
      <xdr:nvPicPr>
        <xdr:cNvPr id="6" name="Image 10">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1"/>
        <a:stretch/>
      </xdr:blipFill>
      <xdr:spPr>
        <a:xfrm>
          <a:off x="9204393" y="561812"/>
          <a:ext cx="5899660" cy="6640139"/>
        </a:xfrm>
        <a:prstGeom prst="rect">
          <a:avLst/>
        </a:prstGeom>
        <a:ln>
          <a:noFill/>
        </a:ln>
      </xdr:spPr>
    </xdr:pic>
    <xdr:clientData/>
  </xdr:twoCellAnchor>
  <xdr:twoCellAnchor editAs="oneCell">
    <xdr:from>
      <xdr:col>5</xdr:col>
      <xdr:colOff>38631</xdr:colOff>
      <xdr:row>31</xdr:row>
      <xdr:rowOff>8487</xdr:rowOff>
    </xdr:from>
    <xdr:to>
      <xdr:col>13</xdr:col>
      <xdr:colOff>66225</xdr:colOff>
      <xdr:row>63</xdr:row>
      <xdr:rowOff>1361</xdr:rowOff>
    </xdr:to>
    <xdr:graphicFrame macro="">
      <xdr:nvGraphicFramePr>
        <xdr:cNvPr id="7" name="Chart 6">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17371</xdr:colOff>
      <xdr:row>11</xdr:row>
      <xdr:rowOff>19737</xdr:rowOff>
    </xdr:from>
    <xdr:to>
      <xdr:col>19</xdr:col>
      <xdr:colOff>746442</xdr:colOff>
      <xdr:row>50</xdr:row>
      <xdr:rowOff>131988</xdr:rowOff>
    </xdr:to>
    <xdr:pic>
      <xdr:nvPicPr>
        <xdr:cNvPr id="14" name="Picture 13">
          <a:extLst>
            <a:ext uri="{FF2B5EF4-FFF2-40B4-BE49-F238E27FC236}">
              <a16:creationId xmlns:a16="http://schemas.microsoft.com/office/drawing/2014/main" id="{1E13B607-A44F-4536-B570-FA55838F3F05}"/>
            </a:ext>
          </a:extLst>
        </xdr:cNvPr>
        <xdr:cNvPicPr>
          <a:picLocks noChangeAspect="1"/>
        </xdr:cNvPicPr>
      </xdr:nvPicPr>
      <xdr:blipFill>
        <a:blip xmlns:r="http://schemas.openxmlformats.org/officeDocument/2006/relationships" r:embed="rId1"/>
        <a:stretch>
          <a:fillRect/>
        </a:stretch>
      </xdr:blipFill>
      <xdr:spPr>
        <a:xfrm>
          <a:off x="8323171" y="5601387"/>
          <a:ext cx="7844246" cy="7370301"/>
        </a:xfrm>
        <a:prstGeom prst="rect">
          <a:avLst/>
        </a:prstGeom>
      </xdr:spPr>
    </xdr:pic>
    <xdr:clientData fLocksWithSheet="0"/>
  </xdr:twoCellAnchor>
  <xdr:twoCellAnchor editAs="oneCell">
    <xdr:from>
      <xdr:col>1</xdr:col>
      <xdr:colOff>485640</xdr:colOff>
      <xdr:row>19</xdr:row>
      <xdr:rowOff>102600</xdr:rowOff>
    </xdr:from>
    <xdr:to>
      <xdr:col>8</xdr:col>
      <xdr:colOff>552600</xdr:colOff>
      <xdr:row>39</xdr:row>
      <xdr:rowOff>94530</xdr:rowOff>
    </xdr:to>
    <xdr:graphicFrame macro="">
      <xdr:nvGraphicFramePr>
        <xdr:cNvPr id="9" name="Chart 8">
          <a:extLst>
            <a:ext uri="{FF2B5EF4-FFF2-40B4-BE49-F238E27FC236}">
              <a16:creationId xmlns:a16="http://schemas.microsoft.com/office/drawing/2014/main" id="{00000000-0008-0000-0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23040</xdr:colOff>
      <xdr:row>51</xdr:row>
      <xdr:rowOff>29520</xdr:rowOff>
    </xdr:from>
    <xdr:to>
      <xdr:col>18</xdr:col>
      <xdr:colOff>514950</xdr:colOff>
      <xdr:row>74</xdr:row>
      <xdr:rowOff>20220</xdr:rowOff>
    </xdr:to>
    <xdr:pic>
      <xdr:nvPicPr>
        <xdr:cNvPr id="10" name="Image 5">
          <a:extLst>
            <a:ext uri="{FF2B5EF4-FFF2-40B4-BE49-F238E27FC236}">
              <a16:creationId xmlns:a16="http://schemas.microsoft.com/office/drawing/2014/main" id="{00000000-0008-0000-0600-00000A000000}"/>
            </a:ext>
          </a:extLst>
        </xdr:cNvPr>
        <xdr:cNvPicPr/>
      </xdr:nvPicPr>
      <xdr:blipFill>
        <a:blip xmlns:r="http://schemas.openxmlformats.org/officeDocument/2006/relationships" r:embed="rId3"/>
        <a:stretch/>
      </xdr:blipFill>
      <xdr:spPr>
        <a:xfrm>
          <a:off x="8565480" y="11780640"/>
          <a:ext cx="6998040" cy="3722040"/>
        </a:xfrm>
        <a:prstGeom prst="rect">
          <a:avLst/>
        </a:prstGeom>
        <a:ln>
          <a:noFill/>
        </a:ln>
      </xdr:spPr>
    </xdr:pic>
    <xdr:clientData/>
  </xdr:twoCellAnchor>
  <xdr:twoCellAnchor editAs="oneCell">
    <xdr:from>
      <xdr:col>1</xdr:col>
      <xdr:colOff>331455</xdr:colOff>
      <xdr:row>54</xdr:row>
      <xdr:rowOff>77760</xdr:rowOff>
    </xdr:from>
    <xdr:to>
      <xdr:col>8</xdr:col>
      <xdr:colOff>396870</xdr:colOff>
      <xdr:row>74</xdr:row>
      <xdr:rowOff>60526</xdr:rowOff>
    </xdr:to>
    <xdr:graphicFrame macro="">
      <xdr:nvGraphicFramePr>
        <xdr:cNvPr id="11" name="Chart 10">
          <a:extLst>
            <a:ext uri="{FF2B5EF4-FFF2-40B4-BE49-F238E27FC236}">
              <a16:creationId xmlns:a16="http://schemas.microsoft.com/office/drawing/2014/main" id="{00000000-0008-0000-06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9</xdr:col>
      <xdr:colOff>763904</xdr:colOff>
      <xdr:row>32</xdr:row>
      <xdr:rowOff>149915</xdr:rowOff>
    </xdr:from>
    <xdr:to>
      <xdr:col>20</xdr:col>
      <xdr:colOff>20767</xdr:colOff>
      <xdr:row>32</xdr:row>
      <xdr:rowOff>153560</xdr:rowOff>
    </xdr:to>
    <xdr:sp macro="" textlink="">
      <xdr:nvSpPr>
        <xdr:cNvPr id="12" name="Line 1">
          <a:extLst>
            <a:ext uri="{FF2B5EF4-FFF2-40B4-BE49-F238E27FC236}">
              <a16:creationId xmlns:a16="http://schemas.microsoft.com/office/drawing/2014/main" id="{00000000-0008-0000-0600-00000C000000}"/>
            </a:ext>
          </a:extLst>
        </xdr:cNvPr>
        <xdr:cNvSpPr/>
      </xdr:nvSpPr>
      <xdr:spPr>
        <a:xfrm flipV="1">
          <a:off x="8279129" y="9541565"/>
          <a:ext cx="7953188" cy="3645"/>
        </a:xfrm>
        <a:prstGeom prst="line">
          <a:avLst/>
        </a:prstGeom>
        <a:ln>
          <a:solidFill>
            <a:srgbClr val="00CC00"/>
          </a:solidFill>
          <a:headEnd type="triangle" w="med" len="med"/>
          <a:tailEnd type="triangle" w="med" len="med"/>
        </a:ln>
      </xdr:spPr>
      <xdr:style>
        <a:lnRef idx="0">
          <a:scrgbClr r="0" g="0" b="0"/>
        </a:lnRef>
        <a:fillRef idx="0">
          <a:scrgbClr r="0" g="0" b="0"/>
        </a:fillRef>
        <a:effectRef idx="0">
          <a:scrgbClr r="0" g="0" b="0"/>
        </a:effectRef>
        <a:fontRef idx="minor"/>
      </xdr:style>
      <xdr:txBody>
        <a:bodyPr/>
        <a:lstStyle/>
        <a:p>
          <a:r>
            <a:rPr lang="en-US" altLang="zh-CN"/>
            <a:t>1</a:t>
          </a:r>
          <a:endParaRPr lang="zh-CN" altLang="en-US"/>
        </a:p>
      </xdr:txBody>
    </xdr:sp>
    <xdr:clientData fLocksWithSheet="0"/>
  </xdr:twoCellAnchor>
  <xdr:twoCellAnchor editAs="absolute">
    <xdr:from>
      <xdr:col>9</xdr:col>
      <xdr:colOff>762001</xdr:colOff>
      <xdr:row>26</xdr:row>
      <xdr:rowOff>95581</xdr:rowOff>
    </xdr:from>
    <xdr:to>
      <xdr:col>19</xdr:col>
      <xdr:colOff>778566</xdr:colOff>
      <xdr:row>26</xdr:row>
      <xdr:rowOff>98148</xdr:rowOff>
    </xdr:to>
    <xdr:sp macro="" textlink="">
      <xdr:nvSpPr>
        <xdr:cNvPr id="13" name="Line 1">
          <a:extLst>
            <a:ext uri="{FF2B5EF4-FFF2-40B4-BE49-F238E27FC236}">
              <a16:creationId xmlns:a16="http://schemas.microsoft.com/office/drawing/2014/main" id="{00000000-0008-0000-0600-00000D000000}"/>
            </a:ext>
          </a:extLst>
        </xdr:cNvPr>
        <xdr:cNvSpPr/>
      </xdr:nvSpPr>
      <xdr:spPr>
        <a:xfrm>
          <a:off x="8277226" y="8458531"/>
          <a:ext cx="7922315" cy="2567"/>
        </a:xfrm>
        <a:prstGeom prst="line">
          <a:avLst/>
        </a:prstGeom>
        <a:ln>
          <a:solidFill>
            <a:srgbClr val="FF3333"/>
          </a:solidFill>
          <a:headEnd type="triangle" w="med" len="med"/>
          <a:tailEnd type="triangle" w="med" len="med"/>
        </a:ln>
      </xdr:spPr>
      <xdr:style>
        <a:lnRef idx="0">
          <a:scrgbClr r="0" g="0" b="0"/>
        </a:lnRef>
        <a:fillRef idx="0">
          <a:scrgbClr r="0" g="0" b="0"/>
        </a:fillRef>
        <a:effectRef idx="0">
          <a:scrgbClr r="0" g="0" b="0"/>
        </a:effectRef>
        <a:fontRef idx="minor"/>
      </xdr:style>
      <xdr:txBody>
        <a:bodyPr/>
        <a:lstStyle/>
        <a:p>
          <a:endParaRPr lang="en-US"/>
        </a:p>
      </xdr:txBody>
    </xdr:sp>
    <xdr:clientData fLocksWithSheet="0"/>
  </xdr:twoCellAnchor>
  <xdr:twoCellAnchor>
    <xdr:from>
      <xdr:col>15</xdr:col>
      <xdr:colOff>441288</xdr:colOff>
      <xdr:row>28</xdr:row>
      <xdr:rowOff>102143</xdr:rowOff>
    </xdr:from>
    <xdr:to>
      <xdr:col>15</xdr:col>
      <xdr:colOff>441288</xdr:colOff>
      <xdr:row>47</xdr:row>
      <xdr:rowOff>2854</xdr:rowOff>
    </xdr:to>
    <xdr:cxnSp macro="">
      <xdr:nvCxnSpPr>
        <xdr:cNvPr id="5" name="直線單箭頭接點 4">
          <a:extLst>
            <a:ext uri="{FF2B5EF4-FFF2-40B4-BE49-F238E27FC236}">
              <a16:creationId xmlns:a16="http://schemas.microsoft.com/office/drawing/2014/main" id="{DE04638A-1FC0-4458-9632-0157A66ECED2}"/>
            </a:ext>
          </a:extLst>
        </xdr:cNvPr>
        <xdr:cNvCxnSpPr/>
      </xdr:nvCxnSpPr>
      <xdr:spPr>
        <a:xfrm>
          <a:off x="12699963" y="8807993"/>
          <a:ext cx="0" cy="33106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fLocksWithSheet="0"/>
  </xdr:twoCellAnchor>
</xdr:wsDr>
</file>

<file path=xl/drawings/drawing7.xml><?xml version="1.0" encoding="utf-8"?>
<xdr:wsDr xmlns:xdr="http://schemas.openxmlformats.org/drawingml/2006/spreadsheetDrawing" xmlns:a="http://schemas.openxmlformats.org/drawingml/2006/main">
  <xdr:twoCellAnchor editAs="absolute">
    <xdr:from>
      <xdr:col>5</xdr:col>
      <xdr:colOff>27270</xdr:colOff>
      <xdr:row>1</xdr:row>
      <xdr:rowOff>22230</xdr:rowOff>
    </xdr:from>
    <xdr:to>
      <xdr:col>12</xdr:col>
      <xdr:colOff>217710</xdr:colOff>
      <xdr:row>33</xdr:row>
      <xdr:rowOff>3045</xdr:rowOff>
    </xdr:to>
    <xdr:pic>
      <xdr:nvPicPr>
        <xdr:cNvPr id="14" name="Image 12">
          <a:extLst>
            <a:ext uri="{FF2B5EF4-FFF2-40B4-BE49-F238E27FC236}">
              <a16:creationId xmlns:a16="http://schemas.microsoft.com/office/drawing/2014/main" id="{00000000-0008-0000-0700-00000E000000}"/>
            </a:ext>
          </a:extLst>
        </xdr:cNvPr>
        <xdr:cNvPicPr/>
      </xdr:nvPicPr>
      <xdr:blipFill>
        <a:blip xmlns:r="http://schemas.openxmlformats.org/officeDocument/2006/relationships" r:embed="rId1"/>
        <a:stretch/>
      </xdr:blipFill>
      <xdr:spPr>
        <a:xfrm>
          <a:off x="6809070" y="184155"/>
          <a:ext cx="5591115" cy="5486265"/>
        </a:xfrm>
        <a:prstGeom prst="rect">
          <a:avLst/>
        </a:prstGeom>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53430</xdr:colOff>
      <xdr:row>3</xdr:row>
      <xdr:rowOff>72390</xdr:rowOff>
    </xdr:from>
    <xdr:to>
      <xdr:col>8</xdr:col>
      <xdr:colOff>556080</xdr:colOff>
      <xdr:row>32</xdr:row>
      <xdr:rowOff>94035</xdr:rowOff>
    </xdr:to>
    <xdr:pic>
      <xdr:nvPicPr>
        <xdr:cNvPr id="15" name="Image 7">
          <a:extLst>
            <a:ext uri="{FF2B5EF4-FFF2-40B4-BE49-F238E27FC236}">
              <a16:creationId xmlns:a16="http://schemas.microsoft.com/office/drawing/2014/main" id="{00000000-0008-0000-0800-00000F000000}"/>
            </a:ext>
          </a:extLst>
        </xdr:cNvPr>
        <xdr:cNvPicPr/>
      </xdr:nvPicPr>
      <xdr:blipFill>
        <a:blip xmlns:r="http://schemas.openxmlformats.org/officeDocument/2006/relationships" r:embed="rId1"/>
        <a:stretch/>
      </xdr:blipFill>
      <xdr:spPr>
        <a:xfrm>
          <a:off x="7759155" y="586740"/>
          <a:ext cx="2874375" cy="6908220"/>
        </a:xfrm>
        <a:prstGeom prst="rect">
          <a:avLst/>
        </a:prstGeom>
        <a:ln>
          <a:noFill/>
        </a:ln>
      </xdr:spPr>
    </xdr:pic>
    <xdr:clientData/>
  </xdr:twoCellAnchor>
  <xdr:twoCellAnchor editAs="oneCell">
    <xdr:from>
      <xdr:col>5</xdr:col>
      <xdr:colOff>0</xdr:colOff>
      <xdr:row>35</xdr:row>
      <xdr:rowOff>0</xdr:rowOff>
    </xdr:from>
    <xdr:to>
      <xdr:col>11</xdr:col>
      <xdr:colOff>1903</xdr:colOff>
      <xdr:row>55</xdr:row>
      <xdr:rowOff>152400</xdr:rowOff>
    </xdr:to>
    <xdr:pic>
      <xdr:nvPicPr>
        <xdr:cNvPr id="3" name="Picture 2">
          <a:extLst>
            <a:ext uri="{FF2B5EF4-FFF2-40B4-BE49-F238E27FC236}">
              <a16:creationId xmlns:a16="http://schemas.microsoft.com/office/drawing/2014/main" id="{673107D5-33F5-4021-99E5-C681BD5759CE}"/>
            </a:ext>
          </a:extLst>
        </xdr:cNvPr>
        <xdr:cNvPicPr>
          <a:picLocks noChangeAspect="1"/>
        </xdr:cNvPicPr>
      </xdr:nvPicPr>
      <xdr:blipFill>
        <a:blip xmlns:r="http://schemas.openxmlformats.org/officeDocument/2006/relationships" r:embed="rId2"/>
        <a:stretch>
          <a:fillRect/>
        </a:stretch>
      </xdr:blipFill>
      <xdr:spPr>
        <a:xfrm>
          <a:off x="7705725" y="7915275"/>
          <a:ext cx="4733923" cy="3905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25920</xdr:colOff>
      <xdr:row>1</xdr:row>
      <xdr:rowOff>9360</xdr:rowOff>
    </xdr:from>
    <xdr:to>
      <xdr:col>8</xdr:col>
      <xdr:colOff>520200</xdr:colOff>
      <xdr:row>13</xdr:row>
      <xdr:rowOff>65160</xdr:rowOff>
    </xdr:to>
    <xdr:pic>
      <xdr:nvPicPr>
        <xdr:cNvPr id="16" name="Image 8">
          <a:extLst>
            <a:ext uri="{FF2B5EF4-FFF2-40B4-BE49-F238E27FC236}">
              <a16:creationId xmlns:a16="http://schemas.microsoft.com/office/drawing/2014/main" id="{00000000-0008-0000-0900-000010000000}"/>
            </a:ext>
          </a:extLst>
        </xdr:cNvPr>
        <xdr:cNvPicPr/>
      </xdr:nvPicPr>
      <xdr:blipFill>
        <a:blip xmlns:r="http://schemas.openxmlformats.org/officeDocument/2006/relationships" r:embed="rId1"/>
        <a:stretch/>
      </xdr:blipFill>
      <xdr:spPr>
        <a:xfrm>
          <a:off x="9339120" y="454320"/>
          <a:ext cx="2932920" cy="2287080"/>
        </a:xfrm>
        <a:prstGeom prst="rect">
          <a:avLst/>
        </a:prstGeom>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5:AMK16"/>
  <sheetViews>
    <sheetView tabSelected="1" zoomScaleNormal="100" workbookViewId="0">
      <selection activeCell="B16" sqref="B16"/>
    </sheetView>
  </sheetViews>
  <sheetFormatPr defaultRowHeight="13.2"/>
  <cols>
    <col min="1" max="1" width="11.5546875" style="1"/>
    <col min="2" max="2" width="78.6640625" style="1" customWidth="1"/>
    <col min="3" max="1025" width="11.5546875" style="1"/>
  </cols>
  <sheetData>
    <row r="15" spans="2:2">
      <c r="B15" s="2" t="s">
        <v>0</v>
      </c>
    </row>
    <row r="16" spans="2:2" ht="132" customHeight="1">
      <c r="B16" s="120" t="s">
        <v>1</v>
      </c>
    </row>
  </sheetData>
  <sheetProtection algorithmName="SHA-512" hashValue="UOEWmbM6P/Ue2HZp3j1wUWHLKNweK0O6vCRSqn5Y0/+Sd3JvmjYqil3pn7qcibTGwNe0m18YxNB1rZxuGQxacQ==" saltValue="oNxE7hzWjA9LGwckCAzm4Q==" spinCount="100000" sheet="1" objects="1" scenarios="1" selectLockedCells="1" selectUnlockedCells="1"/>
  <phoneticPr fontId="26" type="noConversion"/>
  <pageMargins left="0.78749999999999998" right="0.78749999999999998" top="1.0249999999999999" bottom="1.0249999999999999" header="0.78749999999999998" footer="0.78749999999999998"/>
  <pageSetup firstPageNumber="0" orientation="portrait" horizontalDpi="300" verticalDpi="300" r:id="rId1"/>
  <headerFooter>
    <oddHeader>&amp;C&amp;A</oddHeader>
    <oddFooter>&amp;CPage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9"/>
  <sheetViews>
    <sheetView zoomScaleNormal="100" workbookViewId="0">
      <selection activeCell="C4" sqref="C4"/>
    </sheetView>
  </sheetViews>
  <sheetFormatPr defaultRowHeight="13.2"/>
  <cols>
    <col min="1" max="1" width="11.5546875"/>
    <col min="2" max="2" width="40.109375" customWidth="1"/>
    <col min="3" max="4" width="11.5546875"/>
    <col min="5" max="5" width="57.109375" customWidth="1"/>
    <col min="6" max="1025" width="11.5546875"/>
  </cols>
  <sheetData>
    <row r="1" spans="1:6" ht="39.6">
      <c r="A1" s="5" t="s">
        <v>50</v>
      </c>
      <c r="B1" s="25" t="s">
        <v>51</v>
      </c>
      <c r="C1" s="5" t="s">
        <v>12</v>
      </c>
      <c r="D1" s="25" t="s">
        <v>13</v>
      </c>
      <c r="E1" s="5" t="s">
        <v>14</v>
      </c>
    </row>
    <row r="3" spans="1:6" ht="26.4">
      <c r="A3" s="11" t="s">
        <v>330</v>
      </c>
      <c r="B3" s="13"/>
      <c r="C3" s="13"/>
      <c r="D3" s="15"/>
      <c r="E3" s="18" t="s">
        <v>331</v>
      </c>
    </row>
    <row r="4" spans="1:6">
      <c r="A4" s="13"/>
      <c r="B4" s="16" t="s">
        <v>332</v>
      </c>
      <c r="C4" s="29">
        <v>10</v>
      </c>
      <c r="D4" s="15" t="s">
        <v>333</v>
      </c>
      <c r="E4" s="13" t="s">
        <v>334</v>
      </c>
      <c r="F4">
        <f>C4*0.000000001</f>
        <v>1E-8</v>
      </c>
    </row>
    <row r="5" spans="1:6" ht="26.4">
      <c r="A5" s="13"/>
      <c r="B5" s="44" t="s">
        <v>335</v>
      </c>
      <c r="C5" s="97">
        <v>0.28000000000000003</v>
      </c>
      <c r="D5" s="15" t="s">
        <v>87</v>
      </c>
      <c r="E5" s="18" t="s">
        <v>336</v>
      </c>
      <c r="F5">
        <f>C5/1000</f>
        <v>2.8000000000000003E-4</v>
      </c>
    </row>
    <row r="6" spans="1:6">
      <c r="A6" s="13"/>
      <c r="B6" s="44" t="s">
        <v>337</v>
      </c>
      <c r="C6" s="97">
        <v>4.2</v>
      </c>
      <c r="D6" s="15" t="s">
        <v>198</v>
      </c>
      <c r="E6" s="13"/>
      <c r="F6">
        <f>0.000001*C6</f>
        <v>4.1999999999999996E-6</v>
      </c>
    </row>
    <row r="7" spans="1:6">
      <c r="A7" s="13"/>
      <c r="B7" s="31" t="s">
        <v>338</v>
      </c>
      <c r="C7" s="48">
        <f>1000*(F$5+1*0.8*F$4/(F$6*1.15))</f>
        <v>1.936314699792961</v>
      </c>
      <c r="D7" s="15" t="s">
        <v>87</v>
      </c>
      <c r="E7" s="13"/>
    </row>
    <row r="8" spans="1:6">
      <c r="A8" s="13"/>
      <c r="B8" s="31" t="s">
        <v>339</v>
      </c>
      <c r="C8" s="48">
        <f>1000*(F$5+67*1.2*F$4/(F$6*0.84))</f>
        <v>228.17115646258503</v>
      </c>
      <c r="D8" s="15" t="s">
        <v>87</v>
      </c>
      <c r="E8" s="13" t="s">
        <v>340</v>
      </c>
    </row>
    <row r="9" spans="1:6">
      <c r="A9" s="13"/>
      <c r="B9" s="13"/>
      <c r="C9" s="34"/>
      <c r="D9" s="15"/>
      <c r="E9" s="13"/>
    </row>
    <row r="10" spans="1:6">
      <c r="A10" s="13"/>
      <c r="B10" s="13"/>
      <c r="C10" s="34"/>
      <c r="D10" s="15"/>
      <c r="E10" s="13"/>
    </row>
    <row r="11" spans="1:6">
      <c r="A11" s="13"/>
      <c r="B11" s="13"/>
      <c r="C11" s="34"/>
      <c r="D11" s="15"/>
      <c r="E11" s="13"/>
    </row>
    <row r="12" spans="1:6">
      <c r="D12" s="36"/>
    </row>
    <row r="13" spans="1:6">
      <c r="D13" s="36"/>
    </row>
    <row r="14" spans="1:6">
      <c r="C14" s="38"/>
      <c r="D14" s="39"/>
    </row>
    <row r="15" spans="1:6">
      <c r="C15" s="38"/>
      <c r="D15" s="39"/>
    </row>
    <row r="16" spans="1:6">
      <c r="C16" s="38"/>
      <c r="D16" s="39"/>
    </row>
    <row r="17" spans="3:4">
      <c r="C17" s="38"/>
      <c r="D17" s="36"/>
    </row>
    <row r="18" spans="3:4">
      <c r="C18" s="38"/>
      <c r="D18" s="36"/>
    </row>
    <row r="19" spans="3:4">
      <c r="C19" s="38"/>
      <c r="D19" s="36"/>
    </row>
  </sheetData>
  <sheetProtection algorithmName="SHA-512" hashValue="zTBsrITWAPDw1PpX68F1O91Ho/D/qSdJ+ja/EilyiKBL7va0vRGAAchJuQC//ZAbLg6C8jTyyYjLdQsOFciPAQ==" saltValue="o3Tue7ctPVOSyl3FLKcDtw==" spinCount="100000" sheet="1" objects="1" scenarios="1" selectLockedCells="1"/>
  <phoneticPr fontId="26" type="noConversion"/>
  <pageMargins left="0.78749999999999998" right="0.78749999999999998" top="1.0249999999999999" bottom="1.0249999999999999" header="0.78749999999999998" footer="0.78749999999999998"/>
  <pageSetup firstPageNumber="0" orientation="portrait" horizontalDpi="300" verticalDpi="300" r:id="rId1"/>
  <headerFooter>
    <oddHeader>&amp;C&amp;A</oddHeader>
    <oddFooter>&amp;CPage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C36"/>
  <sheetViews>
    <sheetView zoomScaleNormal="100" workbookViewId="0">
      <selection activeCell="B2" sqref="B2"/>
    </sheetView>
  </sheetViews>
  <sheetFormatPr defaultRowHeight="13.2"/>
  <cols>
    <col min="1" max="1" width="11.5546875" style="98"/>
    <col min="2" max="2" width="103.6640625" customWidth="1"/>
    <col min="3" max="1025" width="11.5546875"/>
  </cols>
  <sheetData>
    <row r="1" spans="1:2" ht="26.4">
      <c r="A1" s="99" t="s">
        <v>341</v>
      </c>
      <c r="B1" s="11" t="s">
        <v>342</v>
      </c>
    </row>
    <row r="2" spans="1:2">
      <c r="A2" s="100">
        <v>0</v>
      </c>
      <c r="B2" s="13" t="s">
        <v>343</v>
      </c>
    </row>
    <row r="3" spans="1:2">
      <c r="A3" s="100">
        <v>0.1</v>
      </c>
      <c r="B3" s="13" t="s">
        <v>344</v>
      </c>
    </row>
    <row r="4" spans="1:2" ht="52.8">
      <c r="A4" s="100">
        <v>0.2</v>
      </c>
      <c r="B4" s="18" t="s">
        <v>345</v>
      </c>
    </row>
    <row r="5" spans="1:2">
      <c r="A5" s="100" t="s">
        <v>346</v>
      </c>
      <c r="B5" s="13" t="s">
        <v>347</v>
      </c>
    </row>
    <row r="6" spans="1:2" ht="39.6">
      <c r="A6" s="100" t="s">
        <v>348</v>
      </c>
      <c r="B6" s="18" t="s">
        <v>349</v>
      </c>
    </row>
    <row r="7" spans="1:2">
      <c r="A7" s="100">
        <v>0.9</v>
      </c>
      <c r="B7" s="13" t="s">
        <v>350</v>
      </c>
    </row>
    <row r="8" spans="1:2" ht="26.4">
      <c r="A8" s="100">
        <v>0.91</v>
      </c>
      <c r="B8" s="18" t="s">
        <v>351</v>
      </c>
    </row>
    <row r="9" spans="1:2" ht="52.8">
      <c r="A9" s="100">
        <v>0.92</v>
      </c>
      <c r="B9" s="18" t="s">
        <v>352</v>
      </c>
    </row>
    <row r="10" spans="1:2" ht="66">
      <c r="A10" s="100">
        <v>0.93</v>
      </c>
      <c r="B10" s="18" t="s">
        <v>353</v>
      </c>
    </row>
    <row r="11" spans="1:2" ht="66">
      <c r="A11" s="100">
        <v>0.94</v>
      </c>
      <c r="B11" s="18" t="s">
        <v>354</v>
      </c>
    </row>
    <row r="12" spans="1:2" ht="39.6">
      <c r="A12" s="100">
        <v>0.95</v>
      </c>
      <c r="B12" s="18" t="s">
        <v>355</v>
      </c>
    </row>
    <row r="13" spans="1:2">
      <c r="A13" s="100">
        <v>0.96</v>
      </c>
      <c r="B13" s="13" t="s">
        <v>356</v>
      </c>
    </row>
    <row r="14" spans="1:2">
      <c r="A14" s="100">
        <v>0.97</v>
      </c>
      <c r="B14" s="13" t="s">
        <v>357</v>
      </c>
    </row>
    <row r="15" spans="1:2">
      <c r="A15" s="100">
        <v>0.98</v>
      </c>
      <c r="B15" s="13" t="s">
        <v>358</v>
      </c>
    </row>
    <row r="16" spans="1:2">
      <c r="A16" s="100">
        <v>0.99</v>
      </c>
      <c r="B16" s="13" t="s">
        <v>359</v>
      </c>
    </row>
    <row r="17" spans="1:2">
      <c r="A17" s="100">
        <v>1</v>
      </c>
      <c r="B17" s="13" t="s">
        <v>360</v>
      </c>
    </row>
    <row r="18" spans="1:2">
      <c r="A18" s="100">
        <v>1.01</v>
      </c>
      <c r="B18" s="13" t="s">
        <v>395</v>
      </c>
    </row>
    <row r="19" spans="1:2">
      <c r="A19" s="100">
        <v>1.02</v>
      </c>
      <c r="B19" s="13" t="s">
        <v>396</v>
      </c>
    </row>
    <row r="20" spans="1:2">
      <c r="A20" s="100"/>
      <c r="B20" s="13"/>
    </row>
    <row r="21" spans="1:2">
      <c r="A21" s="100"/>
      <c r="B21" s="13"/>
    </row>
    <row r="22" spans="1:2">
      <c r="A22" s="100"/>
      <c r="B22" s="13"/>
    </row>
    <row r="23" spans="1:2">
      <c r="A23" s="100"/>
      <c r="B23" s="13"/>
    </row>
    <row r="24" spans="1:2">
      <c r="A24" s="100"/>
      <c r="B24" s="13"/>
    </row>
    <row r="25" spans="1:2">
      <c r="A25" s="100"/>
      <c r="B25" s="13"/>
    </row>
    <row r="26" spans="1:2">
      <c r="A26" s="100"/>
      <c r="B26" s="13"/>
    </row>
    <row r="27" spans="1:2">
      <c r="A27" s="100"/>
      <c r="B27" s="13"/>
    </row>
    <row r="28" spans="1:2">
      <c r="A28" s="100"/>
      <c r="B28" s="13"/>
    </row>
    <row r="36" spans="3:3">
      <c r="C36" s="19"/>
    </row>
  </sheetData>
  <sheetProtection algorithmName="SHA-512" hashValue="mFQl+Me74f9235kD8agGB52ky1hRZ8boJbDyauCM5lzN/06De2kY3Tf6pjpftfw+Vhh7Y2GHnKgJxVFENOvZrA==" saltValue="ffl3VXi/DNXvBPGQDZIywg==" spinCount="100000" sheet="1" objects="1" scenarios="1" selectLockedCells="1" selectUnlockedCells="1"/>
  <phoneticPr fontId="26" type="noConversion"/>
  <pageMargins left="0.78749999999999998" right="0.78749999999999998" top="1.0249999999999999" bottom="1.0249999999999999" header="0.78749999999999998" footer="0.78749999999999998"/>
  <pageSetup firstPageNumber="0" orientation="portrait" horizontalDpi="300" verticalDpi="300" r:id="rId1"/>
  <headerFooter>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O16"/>
  <sheetViews>
    <sheetView zoomScaleNormal="100" workbookViewId="0">
      <selection activeCell="N9" sqref="N9"/>
    </sheetView>
  </sheetViews>
  <sheetFormatPr defaultRowHeight="13.2"/>
  <cols>
    <col min="1" max="1025" width="11.5546875"/>
  </cols>
  <sheetData>
    <row r="1" spans="1:15">
      <c r="A1" s="13" t="s">
        <v>361</v>
      </c>
      <c r="B1" s="13" t="s">
        <v>362</v>
      </c>
      <c r="C1" s="13" t="s">
        <v>363</v>
      </c>
      <c r="D1" s="13" t="s">
        <v>364</v>
      </c>
      <c r="E1" s="13" t="s">
        <v>365</v>
      </c>
      <c r="F1" s="13" t="s">
        <v>366</v>
      </c>
      <c r="G1" s="13" t="s">
        <v>367</v>
      </c>
      <c r="H1" s="13" t="s">
        <v>368</v>
      </c>
      <c r="I1" s="13" t="s">
        <v>369</v>
      </c>
      <c r="J1" s="13" t="s">
        <v>370</v>
      </c>
      <c r="K1" s="13" t="s">
        <v>371</v>
      </c>
      <c r="L1" s="13" t="s">
        <v>372</v>
      </c>
      <c r="M1" s="13" t="s">
        <v>373</v>
      </c>
      <c r="N1" s="13" t="s">
        <v>374</v>
      </c>
    </row>
    <row r="2" spans="1:15">
      <c r="A2" s="13">
        <v>0</v>
      </c>
      <c r="B2" s="101">
        <f>'OV&amp;UV PINS'!C4</f>
        <v>41</v>
      </c>
      <c r="C2" s="13"/>
      <c r="D2" s="13"/>
      <c r="E2" s="101">
        <f>'OV&amp;UV PINS'!C5</f>
        <v>39</v>
      </c>
      <c r="F2" s="13"/>
      <c r="G2" s="13"/>
      <c r="H2" s="101">
        <f>'OV&amp;UV PINS'!C6</f>
        <v>60</v>
      </c>
      <c r="I2" s="13"/>
      <c r="J2" s="13"/>
      <c r="K2" s="101">
        <f>'PWRGD PIN'!C4</f>
        <v>40</v>
      </c>
      <c r="L2" s="13"/>
      <c r="M2" s="13"/>
      <c r="N2" s="13"/>
    </row>
    <row r="3" spans="1:15">
      <c r="A3" s="13">
        <f>'SYSTEM SPECS'!C15/10</f>
        <v>6</v>
      </c>
      <c r="B3" s="101">
        <f t="shared" ref="B3:B12" si="0">B2</f>
        <v>41</v>
      </c>
      <c r="C3" s="13"/>
      <c r="D3" s="13"/>
      <c r="E3" s="101">
        <f t="shared" ref="E3:E12" si="1">E2</f>
        <v>39</v>
      </c>
      <c r="F3" s="13"/>
      <c r="G3" s="13"/>
      <c r="H3" s="101">
        <f t="shared" ref="H3:H12" si="2">H2</f>
        <v>60</v>
      </c>
      <c r="I3" s="13"/>
      <c r="J3" s="13"/>
      <c r="K3" s="101">
        <f t="shared" ref="K3:K12" si="3">K2</f>
        <v>40</v>
      </c>
      <c r="L3" s="13"/>
      <c r="M3" s="13"/>
      <c r="N3" s="13"/>
    </row>
    <row r="4" spans="1:15">
      <c r="A4" s="13">
        <f>A3*2</f>
        <v>12</v>
      </c>
      <c r="B4" s="101">
        <f t="shared" si="0"/>
        <v>41</v>
      </c>
      <c r="C4" s="13"/>
      <c r="D4" s="13"/>
      <c r="E4" s="101">
        <f t="shared" si="1"/>
        <v>39</v>
      </c>
      <c r="F4" s="13"/>
      <c r="G4" s="13"/>
      <c r="H4" s="101">
        <f t="shared" si="2"/>
        <v>60</v>
      </c>
      <c r="I4" s="13"/>
      <c r="J4" s="13"/>
      <c r="K4" s="101">
        <f t="shared" si="3"/>
        <v>40</v>
      </c>
      <c r="L4" s="13"/>
      <c r="M4" s="13"/>
      <c r="N4" s="13"/>
    </row>
    <row r="5" spans="1:15">
      <c r="A5" s="13">
        <f>A3*3</f>
        <v>18</v>
      </c>
      <c r="B5" s="101">
        <f t="shared" si="0"/>
        <v>41</v>
      </c>
      <c r="C5" s="13"/>
      <c r="D5" s="13"/>
      <c r="E5" s="101">
        <f t="shared" si="1"/>
        <v>39</v>
      </c>
      <c r="F5" s="13"/>
      <c r="G5" s="13"/>
      <c r="H5" s="101">
        <f t="shared" si="2"/>
        <v>60</v>
      </c>
      <c r="I5" s="13"/>
      <c r="J5" s="13"/>
      <c r="K5" s="101">
        <f t="shared" si="3"/>
        <v>40</v>
      </c>
      <c r="L5" s="13"/>
      <c r="M5" s="13"/>
      <c r="N5" s="13"/>
    </row>
    <row r="6" spans="1:15">
      <c r="A6" s="13">
        <f>A3*4</f>
        <v>24</v>
      </c>
      <c r="B6" s="101">
        <f t="shared" si="0"/>
        <v>41</v>
      </c>
      <c r="C6" s="13"/>
      <c r="D6" s="13"/>
      <c r="E6" s="101">
        <f t="shared" si="1"/>
        <v>39</v>
      </c>
      <c r="F6" s="13"/>
      <c r="G6" s="13"/>
      <c r="H6" s="101">
        <f t="shared" si="2"/>
        <v>60</v>
      </c>
      <c r="I6" s="13"/>
      <c r="J6" s="13"/>
      <c r="K6" s="101">
        <f t="shared" si="3"/>
        <v>40</v>
      </c>
      <c r="L6" s="13"/>
      <c r="M6" s="13"/>
      <c r="N6" s="13"/>
    </row>
    <row r="7" spans="1:15">
      <c r="A7" s="13">
        <f>A3*5</f>
        <v>30</v>
      </c>
      <c r="B7" s="101">
        <f t="shared" si="0"/>
        <v>41</v>
      </c>
      <c r="C7" s="13"/>
      <c r="D7" s="13"/>
      <c r="E7" s="101">
        <f t="shared" si="1"/>
        <v>39</v>
      </c>
      <c r="F7" s="13">
        <f>E3*1.04</f>
        <v>40.56</v>
      </c>
      <c r="G7" s="13">
        <f>E3*0.96</f>
        <v>37.44</v>
      </c>
      <c r="H7" s="101">
        <f t="shared" si="2"/>
        <v>60</v>
      </c>
      <c r="I7" s="13"/>
      <c r="J7" s="13"/>
      <c r="K7" s="101">
        <f t="shared" si="3"/>
        <v>40</v>
      </c>
      <c r="L7" s="13">
        <f>'SYSTEM SPECS'!C14</f>
        <v>41</v>
      </c>
      <c r="M7" s="13"/>
      <c r="N7" s="13"/>
    </row>
    <row r="8" spans="1:15">
      <c r="A8" s="13">
        <f>A3*6</f>
        <v>36</v>
      </c>
      <c r="B8" s="101">
        <f t="shared" si="0"/>
        <v>41</v>
      </c>
      <c r="C8" s="13">
        <f>B5*1.05</f>
        <v>43.050000000000004</v>
      </c>
      <c r="D8" s="13">
        <f>B5*0.95</f>
        <v>38.949999999999996</v>
      </c>
      <c r="E8" s="101">
        <f t="shared" si="1"/>
        <v>39</v>
      </c>
      <c r="F8" s="13">
        <f>F7</f>
        <v>40.56</v>
      </c>
      <c r="G8" s="13">
        <f>G7</f>
        <v>37.44</v>
      </c>
      <c r="H8" s="101">
        <f t="shared" si="2"/>
        <v>60</v>
      </c>
      <c r="I8" s="13"/>
      <c r="J8" s="13"/>
      <c r="K8" s="101">
        <f t="shared" si="3"/>
        <v>40</v>
      </c>
      <c r="L8" s="13">
        <f>L7</f>
        <v>41</v>
      </c>
      <c r="M8" s="13">
        <f>'SYSTEM SPECS'!C13</f>
        <v>48</v>
      </c>
      <c r="N8" s="13"/>
    </row>
    <row r="9" spans="1:15">
      <c r="A9" s="13">
        <f>A3*7</f>
        <v>42</v>
      </c>
      <c r="B9" s="101">
        <f t="shared" si="0"/>
        <v>41</v>
      </c>
      <c r="C9" s="13">
        <f>C8</f>
        <v>43.050000000000004</v>
      </c>
      <c r="D9" s="13">
        <f>D8</f>
        <v>38.949999999999996</v>
      </c>
      <c r="E9" s="101">
        <f t="shared" si="1"/>
        <v>39</v>
      </c>
      <c r="F9" s="13"/>
      <c r="G9" s="13"/>
      <c r="H9" s="101">
        <f t="shared" si="2"/>
        <v>60</v>
      </c>
      <c r="I9" s="13"/>
      <c r="J9" s="13"/>
      <c r="K9" s="101">
        <f t="shared" si="3"/>
        <v>40</v>
      </c>
      <c r="L9" s="13">
        <f>L8</f>
        <v>41</v>
      </c>
      <c r="M9" s="13">
        <f>'SYSTEM SPECS'!C13</f>
        <v>48</v>
      </c>
      <c r="N9" s="13">
        <f>'SYSTEM SPECS'!C15</f>
        <v>60</v>
      </c>
    </row>
    <row r="10" spans="1:15">
      <c r="A10" s="13">
        <f>A3*8</f>
        <v>48</v>
      </c>
      <c r="B10" s="101">
        <f t="shared" si="0"/>
        <v>41</v>
      </c>
      <c r="C10" s="13"/>
      <c r="D10" s="13"/>
      <c r="E10" s="101">
        <f t="shared" si="1"/>
        <v>39</v>
      </c>
      <c r="F10" s="13"/>
      <c r="G10" s="13"/>
      <c r="H10" s="101">
        <f t="shared" si="2"/>
        <v>60</v>
      </c>
      <c r="I10" s="13"/>
      <c r="J10" s="13"/>
      <c r="K10" s="101">
        <f t="shared" si="3"/>
        <v>40</v>
      </c>
      <c r="L10" s="13">
        <f>L9</f>
        <v>41</v>
      </c>
      <c r="M10" s="13">
        <f>M9</f>
        <v>48</v>
      </c>
      <c r="N10" s="13">
        <f>'SYSTEM SPECS'!C15</f>
        <v>60</v>
      </c>
    </row>
    <row r="11" spans="1:15">
      <c r="A11" s="13">
        <f>A3*9</f>
        <v>54</v>
      </c>
      <c r="B11" s="101">
        <f t="shared" si="0"/>
        <v>41</v>
      </c>
      <c r="C11" s="13"/>
      <c r="D11" s="13"/>
      <c r="E11" s="101">
        <f t="shared" si="1"/>
        <v>39</v>
      </c>
      <c r="F11" s="13"/>
      <c r="G11" s="13"/>
      <c r="H11" s="101">
        <f t="shared" si="2"/>
        <v>60</v>
      </c>
      <c r="I11" s="13">
        <f>H7*1.04</f>
        <v>62.400000000000006</v>
      </c>
      <c r="J11" s="13">
        <f>H7*0.96</f>
        <v>57.599999999999994</v>
      </c>
      <c r="K11" s="101">
        <f t="shared" si="3"/>
        <v>40</v>
      </c>
      <c r="L11" s="13">
        <f>L10</f>
        <v>41</v>
      </c>
      <c r="M11" s="13">
        <f>M10</f>
        <v>48</v>
      </c>
      <c r="N11" s="13">
        <f>N10</f>
        <v>60</v>
      </c>
    </row>
    <row r="12" spans="1:15">
      <c r="A12" s="13">
        <f>A3*10</f>
        <v>60</v>
      </c>
      <c r="B12" s="101">
        <f t="shared" si="0"/>
        <v>41</v>
      </c>
      <c r="C12" s="13"/>
      <c r="D12" s="13"/>
      <c r="E12" s="101">
        <f t="shared" si="1"/>
        <v>39</v>
      </c>
      <c r="F12" s="13"/>
      <c r="G12" s="13"/>
      <c r="H12" s="101">
        <f t="shared" si="2"/>
        <v>60</v>
      </c>
      <c r="I12" s="13">
        <f>I11</f>
        <v>62.400000000000006</v>
      </c>
      <c r="J12" s="13">
        <f>J11</f>
        <v>57.599999999999994</v>
      </c>
      <c r="K12" s="101">
        <f t="shared" si="3"/>
        <v>40</v>
      </c>
      <c r="L12" s="13">
        <f>L11</f>
        <v>41</v>
      </c>
      <c r="M12" s="13">
        <f>M11</f>
        <v>48</v>
      </c>
      <c r="N12" s="13">
        <f>N11</f>
        <v>60</v>
      </c>
    </row>
    <row r="16" spans="1:15">
      <c r="K16" s="102" t="s">
        <v>375</v>
      </c>
      <c r="L16" s="9"/>
      <c r="M16" s="9"/>
      <c r="N16" s="9"/>
      <c r="O16" s="9"/>
    </row>
  </sheetData>
  <phoneticPr fontId="26" type="noConversion"/>
  <pageMargins left="0.78749999999999998" right="0.78749999999999998" top="1.0249999999999999" bottom="1.0249999999999999" header="0.78749999999999998" footer="0.78749999999999998"/>
  <pageSetup firstPageNumber="0" orientation="portrait" horizontalDpi="300" verticalDpi="300" r:id="rId1"/>
  <headerFooter>
    <oddHeader>&amp;C&amp;A</oddHeader>
    <oddFooter>&amp;CPage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35"/>
  <sheetViews>
    <sheetView zoomScaleNormal="100" workbookViewId="0">
      <selection activeCell="C13" sqref="C13"/>
    </sheetView>
  </sheetViews>
  <sheetFormatPr defaultRowHeight="13.2"/>
  <cols>
    <col min="1" max="1" width="11.5546875"/>
    <col min="2" max="2" width="40.109375" customWidth="1"/>
    <col min="3" max="4" width="11.5546875"/>
    <col min="5" max="5" width="57.109375" customWidth="1"/>
    <col min="6" max="1025" width="11.5546875"/>
  </cols>
  <sheetData>
    <row r="1" spans="1:7" ht="19.2">
      <c r="B1" s="3" t="s">
        <v>2</v>
      </c>
      <c r="E1" s="4" t="s">
        <v>3</v>
      </c>
    </row>
    <row r="2" spans="1:7">
      <c r="A2" s="5" t="s">
        <v>4</v>
      </c>
      <c r="B2" s="5"/>
      <c r="C2" s="5"/>
      <c r="D2" s="5"/>
      <c r="E2" s="5"/>
    </row>
    <row r="3" spans="1:7">
      <c r="A3" s="5"/>
      <c r="B3" s="5" t="s">
        <v>5</v>
      </c>
      <c r="C3" s="5"/>
      <c r="D3" s="5"/>
      <c r="E3" s="5"/>
    </row>
    <row r="4" spans="1:7">
      <c r="B4" s="6" t="s">
        <v>6</v>
      </c>
    </row>
    <row r="5" spans="1:7">
      <c r="B5" s="1" t="s">
        <v>7</v>
      </c>
    </row>
    <row r="6" spans="1:7">
      <c r="B6" s="7" t="s">
        <v>8</v>
      </c>
    </row>
    <row r="7" spans="1:7">
      <c r="B7" s="8" t="s">
        <v>9</v>
      </c>
    </row>
    <row r="8" spans="1:7">
      <c r="B8" s="9" t="s">
        <v>10</v>
      </c>
      <c r="C8" s="9"/>
      <c r="D8" s="9"/>
      <c r="E8" s="9"/>
    </row>
    <row r="9" spans="1:7">
      <c r="A9" s="10"/>
      <c r="B9" s="10"/>
      <c r="C9" s="10"/>
      <c r="D9" s="10"/>
      <c r="E9" s="10"/>
    </row>
    <row r="10" spans="1:7" ht="39.6">
      <c r="A10" s="11"/>
      <c r="B10" s="11" t="s">
        <v>11</v>
      </c>
      <c r="C10" s="11" t="s">
        <v>12</v>
      </c>
      <c r="D10" s="12" t="s">
        <v>13</v>
      </c>
      <c r="E10" s="11" t="s">
        <v>14</v>
      </c>
    </row>
    <row r="11" spans="1:7">
      <c r="A11" s="13"/>
      <c r="B11" s="13"/>
      <c r="C11" s="13"/>
      <c r="D11" s="13"/>
      <c r="E11" s="13"/>
    </row>
    <row r="12" spans="1:7" ht="26.4">
      <c r="A12" s="14" t="s">
        <v>15</v>
      </c>
      <c r="B12" s="13"/>
      <c r="C12" s="13"/>
      <c r="D12" s="15"/>
      <c r="E12" s="13"/>
    </row>
    <row r="13" spans="1:7">
      <c r="A13" s="13"/>
      <c r="B13" s="16" t="s">
        <v>16</v>
      </c>
      <c r="C13" s="17">
        <v>48</v>
      </c>
      <c r="D13" s="15" t="s">
        <v>17</v>
      </c>
      <c r="E13" s="13" t="s">
        <v>18</v>
      </c>
    </row>
    <row r="14" spans="1:7">
      <c r="A14" s="13"/>
      <c r="B14" s="16" t="s">
        <v>19</v>
      </c>
      <c r="C14" s="17">
        <v>41</v>
      </c>
      <c r="D14" s="15" t="s">
        <v>17</v>
      </c>
      <c r="E14" s="13" t="s">
        <v>20</v>
      </c>
    </row>
    <row r="15" spans="1:7">
      <c r="A15" s="13"/>
      <c r="B15" s="16" t="s">
        <v>21</v>
      </c>
      <c r="C15" s="17">
        <v>60</v>
      </c>
      <c r="D15" s="15" t="s">
        <v>17</v>
      </c>
      <c r="E15" s="13" t="s">
        <v>22</v>
      </c>
    </row>
    <row r="16" spans="1:7" ht="39.6">
      <c r="A16" s="13"/>
      <c r="B16" s="16" t="s">
        <v>23</v>
      </c>
      <c r="C16" s="17">
        <v>30</v>
      </c>
      <c r="D16" s="15" t="s">
        <v>24</v>
      </c>
      <c r="E16" s="18" t="s">
        <v>25</v>
      </c>
      <c r="G16" s="19"/>
    </row>
    <row r="17" spans="1:6" ht="26.4">
      <c r="A17" s="13"/>
      <c r="B17" s="16" t="s">
        <v>26</v>
      </c>
      <c r="C17" s="20">
        <v>1000</v>
      </c>
      <c r="D17" s="15" t="s">
        <v>27</v>
      </c>
      <c r="E17" s="18" t="s">
        <v>28</v>
      </c>
      <c r="F17">
        <f>C17/1000000</f>
        <v>1E-3</v>
      </c>
    </row>
    <row r="18" spans="1:6">
      <c r="A18" s="13"/>
      <c r="B18" s="16" t="s">
        <v>29</v>
      </c>
      <c r="C18" s="17">
        <v>1000</v>
      </c>
      <c r="D18" s="21" t="s">
        <v>30</v>
      </c>
      <c r="E18" s="13" t="s">
        <v>31</v>
      </c>
    </row>
    <row r="19" spans="1:6">
      <c r="A19" s="13"/>
      <c r="B19" s="16" t="s">
        <v>32</v>
      </c>
      <c r="C19" s="20">
        <v>0.1</v>
      </c>
      <c r="D19" s="21" t="s">
        <v>24</v>
      </c>
      <c r="E19" s="13" t="s">
        <v>33</v>
      </c>
    </row>
    <row r="20" spans="1:6" ht="15.6">
      <c r="A20" s="13"/>
      <c r="B20" s="16" t="s">
        <v>34</v>
      </c>
      <c r="C20" s="17">
        <v>60</v>
      </c>
      <c r="D20" s="15" t="s">
        <v>35</v>
      </c>
      <c r="E20" s="13" t="s">
        <v>36</v>
      </c>
    </row>
    <row r="21" spans="1:6">
      <c r="A21" s="13"/>
      <c r="B21" s="13"/>
      <c r="C21" s="13"/>
      <c r="D21" s="15"/>
      <c r="E21" s="13"/>
    </row>
    <row r="22" spans="1:6">
      <c r="A22" s="13"/>
      <c r="B22" s="13"/>
      <c r="C22" s="13"/>
      <c r="D22" s="15"/>
      <c r="E22" s="13"/>
    </row>
    <row r="23" spans="1:6">
      <c r="A23" s="13"/>
      <c r="B23" s="13"/>
      <c r="C23" s="13"/>
      <c r="D23" s="15"/>
      <c r="E23" s="13"/>
    </row>
    <row r="25" spans="1:6" ht="15.6">
      <c r="B25" s="22" t="s">
        <v>37</v>
      </c>
      <c r="E25" s="23" t="s">
        <v>38</v>
      </c>
    </row>
    <row r="29" spans="1:6">
      <c r="F29" t="s">
        <v>39</v>
      </c>
    </row>
    <row r="31" spans="1:6">
      <c r="E31" s="24" t="s">
        <v>40</v>
      </c>
      <c r="F31" t="s">
        <v>41</v>
      </c>
    </row>
    <row r="32" spans="1:6">
      <c r="E32" s="24" t="s">
        <v>42</v>
      </c>
      <c r="F32" t="s">
        <v>43</v>
      </c>
    </row>
    <row r="33" spans="5:6">
      <c r="E33" s="24" t="s">
        <v>44</v>
      </c>
      <c r="F33" t="s">
        <v>45</v>
      </c>
    </row>
    <row r="34" spans="5:6">
      <c r="E34" s="24" t="s">
        <v>46</v>
      </c>
      <c r="F34" t="s">
        <v>47</v>
      </c>
    </row>
    <row r="35" spans="5:6">
      <c r="E35" s="24" t="s">
        <v>48</v>
      </c>
      <c r="F35" t="s">
        <v>49</v>
      </c>
    </row>
  </sheetData>
  <sheetProtection algorithmName="SHA-512" hashValue="XxoQHhqC5YqOq6AFQZy8bgBrGWHlv7ur0mx7pETlQx1Rgix8SDQKEP4hlVnDeFrObekoQ1KPBG9wrTiz1gFXsQ==" saltValue="j6vkduHydIuLWcawLdG/2A==" spinCount="100000" sheet="1" objects="1" scenarios="1" selectLockedCells="1"/>
  <phoneticPr fontId="26" type="noConversion"/>
  <pageMargins left="0.78749999999999998" right="0.78749999999999998" top="1.0249999999999999" bottom="1.0249999999999999" header="0.78749999999999998" footer="0.78749999999999998"/>
  <pageSetup orientation="portrait" useFirstPageNumber="1" horizontalDpi="300" verticalDpi="300" r:id="rId1"/>
  <headerFooter>
    <oddHeader>&amp;C&amp;A</oddHeader>
    <oddFooter>&amp;CPage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18"/>
  <sheetViews>
    <sheetView zoomScaleNormal="100" workbookViewId="0">
      <selection activeCell="C4" sqref="C4"/>
    </sheetView>
  </sheetViews>
  <sheetFormatPr defaultRowHeight="13.2"/>
  <cols>
    <col min="1" max="1" width="11.5546875"/>
    <col min="2" max="2" width="40.109375" customWidth="1"/>
    <col min="3" max="4" width="11.5546875"/>
    <col min="5" max="5" width="57.109375" customWidth="1"/>
    <col min="6" max="1025" width="11.5546875"/>
  </cols>
  <sheetData>
    <row r="1" spans="1:6" ht="39.6">
      <c r="A1" s="5" t="s">
        <v>50</v>
      </c>
      <c r="B1" s="25" t="s">
        <v>51</v>
      </c>
      <c r="C1" s="5" t="s">
        <v>12</v>
      </c>
      <c r="D1" s="26" t="s">
        <v>13</v>
      </c>
      <c r="E1" s="5" t="s">
        <v>14</v>
      </c>
    </row>
    <row r="3" spans="1:6" ht="39.6">
      <c r="A3" s="14" t="s">
        <v>52</v>
      </c>
      <c r="B3" s="13"/>
      <c r="C3" s="13"/>
      <c r="D3" s="15"/>
      <c r="E3" s="13"/>
    </row>
    <row r="4" spans="1:6">
      <c r="A4" s="13"/>
      <c r="B4" s="16" t="s">
        <v>53</v>
      </c>
      <c r="C4" s="27">
        <v>1</v>
      </c>
      <c r="D4" s="28" t="s">
        <v>54</v>
      </c>
      <c r="E4" s="13"/>
      <c r="F4">
        <f>C4*0.001</f>
        <v>1E-3</v>
      </c>
    </row>
    <row r="5" spans="1:6">
      <c r="A5" s="13"/>
      <c r="B5" s="16" t="s">
        <v>55</v>
      </c>
      <c r="C5" s="29">
        <v>1</v>
      </c>
      <c r="D5" s="30" t="s">
        <v>56</v>
      </c>
      <c r="E5" s="13"/>
    </row>
    <row r="6" spans="1:6">
      <c r="A6" s="13"/>
      <c r="B6" s="31" t="s">
        <v>57</v>
      </c>
      <c r="C6" s="32">
        <f>(C$4)/C$5</f>
        <v>1</v>
      </c>
      <c r="D6" s="28" t="s">
        <v>54</v>
      </c>
      <c r="E6" s="13"/>
      <c r="F6">
        <f>C6*0.001</f>
        <v>1E-3</v>
      </c>
    </row>
    <row r="7" spans="1:6">
      <c r="A7" s="13"/>
      <c r="B7" s="31" t="s">
        <v>58</v>
      </c>
      <c r="C7" s="32">
        <f>('SYSTEM SPECS'!C16/C5)^2*0.001*C4*1.01</f>
        <v>0.90900000000000003</v>
      </c>
      <c r="D7" s="28" t="s">
        <v>59</v>
      </c>
      <c r="E7" s="13" t="s">
        <v>60</v>
      </c>
    </row>
    <row r="8" spans="1:6" ht="26.4">
      <c r="A8" s="13"/>
      <c r="B8" s="33" t="s">
        <v>61</v>
      </c>
      <c r="C8" s="32">
        <f>('SYSTEM SPECS'!C16)^2*0.001*C6*1.01</f>
        <v>0.90900000000000003</v>
      </c>
      <c r="D8" s="15" t="s">
        <v>59</v>
      </c>
      <c r="E8" s="13" t="s">
        <v>62</v>
      </c>
    </row>
    <row r="9" spans="1:6">
      <c r="A9" s="13"/>
      <c r="B9" s="13"/>
      <c r="C9" s="34"/>
      <c r="D9" s="15"/>
      <c r="E9" s="13"/>
    </row>
    <row r="10" spans="1:6">
      <c r="A10" s="13"/>
      <c r="B10" s="31" t="s">
        <v>63</v>
      </c>
      <c r="C10" s="35">
        <f>'ISET&amp;ISTART PINS'!C61*C6</f>
        <v>29.337621118835788</v>
      </c>
      <c r="D10" s="15" t="s">
        <v>64</v>
      </c>
      <c r="E10" s="13" t="s">
        <v>65</v>
      </c>
    </row>
    <row r="11" spans="1:6">
      <c r="D11" s="36"/>
    </row>
    <row r="12" spans="1:6" ht="39.6">
      <c r="B12" s="37" t="s">
        <v>66</v>
      </c>
      <c r="D12" s="36"/>
      <c r="E12" s="19"/>
    </row>
    <row r="13" spans="1:6" ht="26.4">
      <c r="B13" s="37" t="s">
        <v>67</v>
      </c>
      <c r="C13" s="38"/>
      <c r="D13" s="39"/>
    </row>
    <row r="14" spans="1:6">
      <c r="B14" s="37" t="s">
        <v>68</v>
      </c>
      <c r="C14" s="40" t="s">
        <v>69</v>
      </c>
      <c r="D14" s="41" t="s">
        <v>70</v>
      </c>
    </row>
    <row r="15" spans="1:6">
      <c r="C15" s="42" t="s">
        <v>71</v>
      </c>
      <c r="D15" s="43">
        <v>1206</v>
      </c>
    </row>
    <row r="16" spans="1:6">
      <c r="C16" s="42" t="s">
        <v>72</v>
      </c>
      <c r="D16" s="43">
        <v>2512</v>
      </c>
    </row>
    <row r="17" spans="3:4">
      <c r="C17" s="42" t="s">
        <v>73</v>
      </c>
      <c r="D17" s="43">
        <v>2512</v>
      </c>
    </row>
    <row r="18" spans="3:4">
      <c r="C18" s="42" t="s">
        <v>74</v>
      </c>
      <c r="D18" s="43">
        <v>2728</v>
      </c>
    </row>
  </sheetData>
  <sheetProtection algorithmName="SHA-512" hashValue="03yF00GQvnT+dYG26hGRSKyTT/ugLQKWWySjykP8H9W08ZhrzNMeHwv7/3GkLO6UWfpcEDnkjTU6xdFtVLldiQ==" saltValue="WILQBbRg2eNu+nOM7ldTJg==" spinCount="100000" sheet="1" objects="1" scenarios="1" selectLockedCells="1"/>
  <phoneticPr fontId="26" type="noConversion"/>
  <conditionalFormatting sqref="C10">
    <cfRule type="cellIs" dxfId="26" priority="2" operator="greaterThan">
      <formula>30</formula>
    </cfRule>
  </conditionalFormatting>
  <pageMargins left="0.78749999999999998" right="0.78749999999999998" top="1.0249999999999999" bottom="1.0249999999999999" header="0.78749999999999998" footer="0.78749999999999998"/>
  <pageSetup firstPageNumber="0" orientation="portrait" horizontalDpi="300" verticalDpi="300" r:id="rId1"/>
  <headerFooter>
    <oddHeader>&amp;C&amp;A</oddHeader>
    <oddFooter>&amp;CPage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22"/>
  <sheetViews>
    <sheetView zoomScaleNormal="100" workbookViewId="0">
      <selection activeCell="C5" sqref="C5"/>
    </sheetView>
  </sheetViews>
  <sheetFormatPr defaultRowHeight="13.2"/>
  <cols>
    <col min="1" max="1" width="11.5546875"/>
    <col min="2" max="2" width="40.109375" customWidth="1"/>
    <col min="3" max="4" width="11.5546875"/>
    <col min="5" max="5" width="57.109375" customWidth="1"/>
    <col min="6" max="1025" width="11.5546875"/>
  </cols>
  <sheetData>
    <row r="1" spans="1:5" ht="39.6">
      <c r="A1" s="5" t="s">
        <v>50</v>
      </c>
      <c r="B1" s="25" t="s">
        <v>51</v>
      </c>
      <c r="C1" s="5" t="s">
        <v>12</v>
      </c>
      <c r="D1" s="26" t="s">
        <v>13</v>
      </c>
      <c r="E1" s="5" t="s">
        <v>14</v>
      </c>
    </row>
    <row r="3" spans="1:5" ht="52.8">
      <c r="A3" s="14" t="s">
        <v>75</v>
      </c>
      <c r="B3" s="13"/>
      <c r="C3" s="13"/>
      <c r="D3" s="15"/>
      <c r="E3" s="33" t="s">
        <v>76</v>
      </c>
    </row>
    <row r="4" spans="1:5" ht="26.4">
      <c r="A4" s="13"/>
      <c r="B4" s="44" t="s">
        <v>77</v>
      </c>
      <c r="C4" s="45">
        <v>25</v>
      </c>
      <c r="D4" s="46" t="s">
        <v>78</v>
      </c>
      <c r="E4" s="13"/>
    </row>
    <row r="5" spans="1:5" ht="26.4">
      <c r="A5" s="13"/>
      <c r="B5" s="16" t="s">
        <v>79</v>
      </c>
      <c r="C5" s="29">
        <v>47</v>
      </c>
      <c r="D5" s="46" t="s">
        <v>80</v>
      </c>
      <c r="E5" s="18" t="s">
        <v>81</v>
      </c>
    </row>
    <row r="6" spans="1:5">
      <c r="A6" s="13"/>
      <c r="B6" s="31" t="s">
        <v>82</v>
      </c>
      <c r="C6" s="47">
        <f>0.8*0.000001*C$4/(1.2*0.000000001*C$5)</f>
        <v>354.60992907801415</v>
      </c>
      <c r="D6" s="15" t="s">
        <v>83</v>
      </c>
      <c r="E6" s="13"/>
    </row>
    <row r="7" spans="1:5">
      <c r="A7" s="13"/>
      <c r="B7" s="31" t="s">
        <v>84</v>
      </c>
      <c r="C7" s="47">
        <f>1*0.000001*C$4/(1*0.000000001*C$5)</f>
        <v>531.91489361702122</v>
      </c>
      <c r="D7" s="15" t="s">
        <v>83</v>
      </c>
      <c r="E7" s="13"/>
    </row>
    <row r="8" spans="1:5">
      <c r="A8" s="13"/>
      <c r="B8" s="31" t="s">
        <v>85</v>
      </c>
      <c r="C8" s="47">
        <f>1.2*0.000001*C$4/(0.8*0.000000001*C$5)</f>
        <v>797.87234042553177</v>
      </c>
      <c r="D8" s="15" t="s">
        <v>83</v>
      </c>
      <c r="E8" s="13"/>
    </row>
    <row r="9" spans="1:5">
      <c r="A9" s="13"/>
      <c r="B9" s="31" t="s">
        <v>86</v>
      </c>
      <c r="C9" s="35">
        <f>1000*'SYSTEM SPECS'!C13/C$8</f>
        <v>60.160000000000011</v>
      </c>
      <c r="D9" s="15" t="s">
        <v>87</v>
      </c>
      <c r="E9" s="13" t="s">
        <v>88</v>
      </c>
    </row>
    <row r="10" spans="1:5">
      <c r="A10" s="13"/>
      <c r="B10" s="31" t="s">
        <v>89</v>
      </c>
      <c r="C10" s="35">
        <f>1000*'SYSTEM SPECS'!C13/C$7</f>
        <v>90.240000000000009</v>
      </c>
      <c r="D10" s="15" t="s">
        <v>87</v>
      </c>
      <c r="E10" s="13"/>
    </row>
    <row r="11" spans="1:5">
      <c r="A11" s="13"/>
      <c r="B11" s="31" t="s">
        <v>90</v>
      </c>
      <c r="C11" s="35">
        <f>1000*'SYSTEM SPECS'!C13/C$6</f>
        <v>135.36000000000001</v>
      </c>
      <c r="D11" s="15" t="s">
        <v>87</v>
      </c>
      <c r="E11" s="13" t="s">
        <v>91</v>
      </c>
    </row>
    <row r="12" spans="1:5">
      <c r="A12" s="13"/>
      <c r="B12" s="31" t="s">
        <v>92</v>
      </c>
      <c r="C12" s="48">
        <f>0.8*('SYSTEM SPECS'!F17)*C$6</f>
        <v>0.28368794326241131</v>
      </c>
      <c r="D12" s="15" t="s">
        <v>24</v>
      </c>
      <c r="E12" s="13" t="s">
        <v>93</v>
      </c>
    </row>
    <row r="13" spans="1:5">
      <c r="A13" s="13"/>
      <c r="B13" s="31" t="s">
        <v>94</v>
      </c>
      <c r="C13" s="48">
        <f>1*('SYSTEM SPECS'!F17)*C$7</f>
        <v>0.53191489361702127</v>
      </c>
      <c r="D13" s="15" t="s">
        <v>24</v>
      </c>
      <c r="E13" s="13" t="s">
        <v>93</v>
      </c>
    </row>
    <row r="14" spans="1:5">
      <c r="A14" s="13"/>
      <c r="B14" s="31" t="s">
        <v>95</v>
      </c>
      <c r="C14" s="48">
        <f>1.2*('SYSTEM SPECS'!F17)*C$8</f>
        <v>0.95744680851063801</v>
      </c>
      <c r="D14" s="15" t="s">
        <v>24</v>
      </c>
      <c r="E14" s="13" t="s">
        <v>93</v>
      </c>
    </row>
    <row r="15" spans="1:5" ht="39.6">
      <c r="A15" s="13"/>
      <c r="B15" s="33" t="s">
        <v>96</v>
      </c>
      <c r="C15" s="32">
        <f>C12+('SYSTEM SPECS'!C19)+(('SYSTEM SPECS'!C14)/(IF('SYSTEM SPECS'!C18&gt;=0.1,('SYSTEM SPECS'!C18*2),500)))</f>
        <v>0.40418794326241131</v>
      </c>
      <c r="D15" s="15" t="s">
        <v>24</v>
      </c>
      <c r="E15" s="13" t="s">
        <v>93</v>
      </c>
    </row>
    <row r="16" spans="1:5" ht="39.6">
      <c r="A16" s="13"/>
      <c r="B16" s="33" t="s">
        <v>97</v>
      </c>
      <c r="C16" s="32">
        <f>C13+('SYSTEM SPECS'!C19)+(('SYSTEM SPECS'!C14)/(IF('SYSTEM SPECS'!C18&gt;=0.1,('SYSTEM SPECS'!C18*2),500)))</f>
        <v>0.65241489361702121</v>
      </c>
      <c r="D16" s="15" t="s">
        <v>24</v>
      </c>
      <c r="E16" s="13" t="s">
        <v>93</v>
      </c>
    </row>
    <row r="17" spans="1:5" ht="39.6">
      <c r="A17" s="13"/>
      <c r="B17" s="33" t="s">
        <v>98</v>
      </c>
      <c r="C17" s="32">
        <f>C14+('SYSTEM SPECS'!C19)+(('SYSTEM SPECS'!C14)/(IF('SYSTEM SPECS'!C18&gt;=0.1,('SYSTEM SPECS'!C18*2),500)))</f>
        <v>1.0779468085106381</v>
      </c>
      <c r="D17" s="15" t="s">
        <v>24</v>
      </c>
      <c r="E17" s="13" t="s">
        <v>93</v>
      </c>
    </row>
    <row r="18" spans="1:5">
      <c r="C18" s="38"/>
      <c r="D18" s="36"/>
    </row>
    <row r="19" spans="1:5">
      <c r="B19" s="7" t="s">
        <v>99</v>
      </c>
      <c r="C19" s="49"/>
      <c r="D19" s="50"/>
      <c r="E19" s="7"/>
    </row>
    <row r="20" spans="1:5">
      <c r="B20" s="7" t="s">
        <v>100</v>
      </c>
      <c r="C20" s="7"/>
      <c r="D20" s="7"/>
      <c r="E20" s="7"/>
    </row>
    <row r="22" spans="1:5">
      <c r="B22" s="103" t="s">
        <v>101</v>
      </c>
      <c r="C22" s="103"/>
      <c r="D22" s="103"/>
      <c r="E22" s="103"/>
    </row>
  </sheetData>
  <sheetProtection algorithmName="SHA-512" hashValue="83XLb/NEWdL9pm0WVwSTClcBBTf6NBoJUR5X8A96OR1pdIVGRfCPYZQdMcNTAzFZZJgrwqggJSVtTVFdDA93zw==" saltValue="7n5jUXpa4qOF/0eHOKRnsw==" spinCount="100000" sheet="1" objects="1" scenarios="1" selectLockedCells="1"/>
  <phoneticPr fontId="26" type="noConversion"/>
  <pageMargins left="0.78749999999999998" right="0.78749999999999998" top="1.0249999999999999" bottom="1.0249999999999999" header="0.78749999999999998" footer="0.78749999999999998"/>
  <pageSetup firstPageNumber="0" orientation="portrait" horizontalDpi="300" verticalDpi="300" r:id="rId1"/>
  <headerFooter>
    <oddHeader>&amp;C&amp;A</oddHeader>
    <oddFooter>&amp;CPage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63"/>
  <sheetViews>
    <sheetView zoomScaleNormal="100" workbookViewId="0">
      <selection activeCell="C4" sqref="C4"/>
    </sheetView>
  </sheetViews>
  <sheetFormatPr defaultRowHeight="13.2"/>
  <cols>
    <col min="1" max="1" width="11.5546875"/>
    <col min="2" max="2" width="40.109375" customWidth="1"/>
    <col min="3" max="3" width="13.6640625" bestFit="1" customWidth="1"/>
    <col min="4" max="4" width="11.5546875"/>
    <col min="5" max="5" width="57.109375" customWidth="1"/>
    <col min="6" max="6" width="14.5546875" customWidth="1"/>
    <col min="7" max="7" width="11.6640625" bestFit="1" customWidth="1"/>
    <col min="8" max="8" width="12.44140625" bestFit="1" customWidth="1"/>
    <col min="9" max="9" width="11.5546875"/>
    <col min="10" max="10" width="11.6640625" bestFit="1" customWidth="1"/>
    <col min="11" max="1025" width="11.5546875"/>
  </cols>
  <sheetData>
    <row r="1" spans="1:6" ht="26.4">
      <c r="A1" s="5" t="s">
        <v>50</v>
      </c>
      <c r="B1" s="25" t="s">
        <v>51</v>
      </c>
      <c r="C1" s="5" t="s">
        <v>12</v>
      </c>
      <c r="D1" s="25" t="s">
        <v>102</v>
      </c>
      <c r="E1" s="5" t="s">
        <v>14</v>
      </c>
    </row>
    <row r="3" spans="1:6">
      <c r="A3" s="11" t="s">
        <v>103</v>
      </c>
      <c r="B3" s="13"/>
      <c r="C3" s="13"/>
      <c r="D3" s="15"/>
      <c r="E3" s="13"/>
    </row>
    <row r="4" spans="1:6" ht="26.4">
      <c r="A4" s="13"/>
      <c r="B4" s="16" t="s">
        <v>104</v>
      </c>
      <c r="C4" s="51">
        <v>100</v>
      </c>
      <c r="D4" s="46" t="s">
        <v>105</v>
      </c>
      <c r="E4" s="13"/>
      <c r="F4">
        <f>C4*1000</f>
        <v>100000</v>
      </c>
    </row>
    <row r="5" spans="1:6" ht="26.4">
      <c r="A5" s="13"/>
      <c r="B5" s="16" t="s">
        <v>106</v>
      </c>
      <c r="C5" s="51">
        <v>6.34</v>
      </c>
      <c r="D5" s="46" t="s">
        <v>105</v>
      </c>
      <c r="E5" s="13"/>
      <c r="F5">
        <f>C5*1000</f>
        <v>6340</v>
      </c>
    </row>
    <row r="6" spans="1:6">
      <c r="A6" s="13"/>
      <c r="B6" s="31" t="s">
        <v>107</v>
      </c>
      <c r="C6" s="48">
        <f xml:space="preserve"> 2.68 * 0.99 * F$5 / (0.99 * F$5  +  1.01 * F$4)</f>
        <v>0.15680295609666972</v>
      </c>
      <c r="D6" s="15" t="s">
        <v>17</v>
      </c>
      <c r="E6" s="131" t="s">
        <v>108</v>
      </c>
    </row>
    <row r="7" spans="1:6">
      <c r="A7" s="13"/>
      <c r="B7" s="31" t="s">
        <v>109</v>
      </c>
      <c r="C7" s="48">
        <f xml:space="preserve"> 2.7 * F$5/(F$5 + F$4)</f>
        <v>0.1609742335903705</v>
      </c>
      <c r="D7" s="15" t="s">
        <v>17</v>
      </c>
      <c r="E7" s="132"/>
    </row>
    <row r="8" spans="1:6">
      <c r="A8" s="13"/>
      <c r="B8" s="31" t="s">
        <v>110</v>
      </c>
      <c r="C8" s="48">
        <f xml:space="preserve"> 2.72 * 1.01 * F$5 / (1.01 * F$5  +  0.99 * F$4)</f>
        <v>0.16524370181607048</v>
      </c>
      <c r="D8" s="15" t="s">
        <v>17</v>
      </c>
      <c r="E8" s="133"/>
    </row>
    <row r="9" spans="1:6">
      <c r="A9" s="13"/>
      <c r="B9" s="31" t="s">
        <v>111</v>
      </c>
      <c r="C9" s="32">
        <f xml:space="preserve"> IF(C$6 &gt; 1.35, 0.024, MAX( MIN(C$6/40, 0.0294), 0.0019 )) / 'SENSE PINS'!F6 / 1.01</f>
        <v>3.8812612895215279</v>
      </c>
      <c r="D9" s="15" t="s">
        <v>24</v>
      </c>
      <c r="E9" s="134" t="s">
        <v>112</v>
      </c>
    </row>
    <row r="10" spans="1:6">
      <c r="A10" s="13"/>
      <c r="B10" s="31" t="s">
        <v>113</v>
      </c>
      <c r="C10" s="32">
        <f xml:space="preserve"> IF(C$7 &gt; 1.35, 0.025, MAX( MIN(C$7/40, 0.03),  0.0024 )) / 'SENSE PINS'!F6</f>
        <v>4.024355839759262</v>
      </c>
      <c r="D10" s="15" t="s">
        <v>24</v>
      </c>
      <c r="E10" s="135"/>
    </row>
    <row r="11" spans="1:6">
      <c r="A11" s="13"/>
      <c r="B11" s="31" t="s">
        <v>114</v>
      </c>
      <c r="C11" s="32">
        <f xml:space="preserve"> IF(C$8 &gt; 1.35, 0.0254, MAX( MIN(C$8/40, 0.0304),  0.0029 )) / 'SENSE PINS'!F6 / 0.99</f>
        <v>4.1728207529310728</v>
      </c>
      <c r="D11" s="15" t="s">
        <v>24</v>
      </c>
      <c r="E11" s="136"/>
    </row>
    <row r="12" spans="1:6">
      <c r="A12" s="13"/>
      <c r="B12" s="33" t="s">
        <v>115</v>
      </c>
      <c r="C12" s="116">
        <f xml:space="preserve"> C9 - 0.00131 / 1.01 / 'SENSE PINS'!F6</f>
        <v>2.5842315865512311</v>
      </c>
      <c r="D12" s="15" t="s">
        <v>24</v>
      </c>
      <c r="E12" s="137" t="s">
        <v>116</v>
      </c>
    </row>
    <row r="13" spans="1:6">
      <c r="A13" s="13"/>
      <c r="B13" s="33" t="s">
        <v>117</v>
      </c>
      <c r="C13" s="116">
        <f xml:space="preserve"> C10 - 0.0011 / 'SENSE PINS'!F6</f>
        <v>2.9243558397592619</v>
      </c>
      <c r="D13" s="15" t="s">
        <v>24</v>
      </c>
      <c r="E13" s="138"/>
    </row>
    <row r="14" spans="1:6">
      <c r="A14" s="13"/>
      <c r="B14" s="33" t="s">
        <v>118</v>
      </c>
      <c r="C14" s="116">
        <f xml:space="preserve"> C11 - 0.0009 / 0.99 / 'SENSE PINS'!F6</f>
        <v>3.2637298438401636</v>
      </c>
      <c r="D14" s="15" t="s">
        <v>24</v>
      </c>
      <c r="E14" s="138"/>
    </row>
    <row r="15" spans="1:6">
      <c r="A15" s="13"/>
      <c r="C15" s="13"/>
      <c r="D15" s="13"/>
      <c r="E15" s="13"/>
    </row>
    <row r="16" spans="1:6" ht="39.6">
      <c r="A16" s="13"/>
      <c r="B16" s="53" t="s">
        <v>119</v>
      </c>
      <c r="C16" s="54" t="s">
        <v>120</v>
      </c>
      <c r="D16" s="13"/>
      <c r="E16" s="19" t="s">
        <v>121</v>
      </c>
    </row>
    <row r="17" spans="1:13">
      <c r="B17" s="13"/>
      <c r="C17" s="38"/>
      <c r="D17" s="13"/>
      <c r="E17" s="13"/>
    </row>
    <row r="18" spans="1:13" ht="84.6" customHeight="1">
      <c r="A18" s="105" t="s">
        <v>122</v>
      </c>
      <c r="B18" s="125" t="s">
        <v>123</v>
      </c>
      <c r="C18" s="126"/>
      <c r="D18" s="127"/>
      <c r="E18" s="37"/>
      <c r="F18" s="19"/>
    </row>
    <row r="19" spans="1:13">
      <c r="A19" s="13"/>
      <c r="B19" s="13"/>
      <c r="C19" s="34"/>
      <c r="D19" s="30"/>
      <c r="E19" s="13"/>
    </row>
    <row r="20" spans="1:13" ht="26.4">
      <c r="A20" s="13"/>
      <c r="B20" s="14" t="s">
        <v>124</v>
      </c>
      <c r="C20" s="13"/>
      <c r="D20" s="15"/>
      <c r="E20" s="13"/>
    </row>
    <row r="21" spans="1:13" ht="26.4">
      <c r="A21" s="13"/>
      <c r="B21" s="16" t="s">
        <v>125</v>
      </c>
      <c r="C21" s="51">
        <v>69.8</v>
      </c>
      <c r="D21" s="46" t="s">
        <v>105</v>
      </c>
      <c r="E21" s="13" t="s">
        <v>126</v>
      </c>
      <c r="F21">
        <f>C21*1000</f>
        <v>69800</v>
      </c>
    </row>
    <row r="22" spans="1:13" ht="26.4">
      <c r="A22" s="13"/>
      <c r="B22" s="16" t="s">
        <v>127</v>
      </c>
      <c r="C22" s="51">
        <v>90.5</v>
      </c>
      <c r="D22" s="46" t="s">
        <v>105</v>
      </c>
      <c r="E22" s="13" t="s">
        <v>128</v>
      </c>
      <c r="F22">
        <f>C22*1000</f>
        <v>90500</v>
      </c>
    </row>
    <row r="23" spans="1:13">
      <c r="A23" s="13"/>
      <c r="B23" s="31" t="s">
        <v>129</v>
      </c>
      <c r="C23" s="48">
        <f xml:space="preserve"> 2.68 * 0.99 * F$21/(0.99 * F$21  +  1.01 * F$22)</f>
        <v>1.1538023886808675</v>
      </c>
      <c r="D23" s="46" t="s">
        <v>17</v>
      </c>
      <c r="E23" s="55" t="s">
        <v>130</v>
      </c>
      <c r="F23">
        <f>IF(C23&gt;1.2, 1.2, C23)</f>
        <v>1.1538023886808675</v>
      </c>
    </row>
    <row r="24" spans="1:13" ht="26.4">
      <c r="A24" s="13"/>
      <c r="B24" s="31" t="s">
        <v>131</v>
      </c>
      <c r="C24" s="48">
        <f xml:space="preserve"> 2.7 * F$21/(F$21 + F$22)</f>
        <v>1.1756706175920151</v>
      </c>
      <c r="D24" s="46" t="s">
        <v>17</v>
      </c>
      <c r="E24" s="18" t="s">
        <v>132</v>
      </c>
      <c r="F24">
        <f>IF(C24&gt;1.2, 1.2, C24)</f>
        <v>1.1756706175920151</v>
      </c>
    </row>
    <row r="25" spans="1:13">
      <c r="A25" s="13"/>
      <c r="B25" s="31" t="s">
        <v>133</v>
      </c>
      <c r="C25" s="48">
        <f xml:space="preserve"> 2.72 * 1.01 * F$21/(1.01 * F$21  +  0.99 * F$22)</f>
        <v>1.1977697963058973</v>
      </c>
      <c r="D25" s="46" t="s">
        <v>17</v>
      </c>
      <c r="E25" s="13"/>
      <c r="F25">
        <f>IF(C25&gt;1.2, 1.2, C25)</f>
        <v>1.1977697963058973</v>
      </c>
    </row>
    <row r="26" spans="1:13">
      <c r="A26" s="13"/>
      <c r="B26" s="31" t="s">
        <v>134</v>
      </c>
      <c r="C26" s="56">
        <f xml:space="preserve"> MAX( MIN(C23/40, 0.0294),  0.0019) / 'SENSE PINS'!F6 / 1.01</f>
        <v>28.559465066358108</v>
      </c>
      <c r="D26" s="46" t="s">
        <v>24</v>
      </c>
      <c r="E26" s="13"/>
    </row>
    <row r="27" spans="1:13">
      <c r="A27" s="13"/>
      <c r="B27" s="31" t="s">
        <v>135</v>
      </c>
      <c r="C27" s="56">
        <f xml:space="preserve"> MAX( MIN(C24/40, 0.03),  0.0024) / 'SENSE PINS'!F6</f>
        <v>29.391765439800377</v>
      </c>
      <c r="D27" s="46" t="s">
        <v>24</v>
      </c>
      <c r="E27" s="13" t="s">
        <v>136</v>
      </c>
    </row>
    <row r="28" spans="1:13">
      <c r="A28" s="13"/>
      <c r="B28" s="31" t="s">
        <v>137</v>
      </c>
      <c r="C28" s="56">
        <f>MAX( MIN(C25/40, 0.0303),  0.0029) / 'SENSE PINS'!F6 / 0.99</f>
        <v>30.246712027926698</v>
      </c>
      <c r="D28" s="46" t="s">
        <v>24</v>
      </c>
      <c r="E28" s="13"/>
    </row>
    <row r="29" spans="1:13">
      <c r="A29" s="13"/>
      <c r="B29" s="13"/>
      <c r="C29" s="13"/>
      <c r="D29" s="15"/>
      <c r="E29" s="13"/>
    </row>
    <row r="30" spans="1:13">
      <c r="A30" s="57"/>
      <c r="B30" s="57" t="s">
        <v>138</v>
      </c>
      <c r="C30" s="57"/>
      <c r="D30" s="57"/>
      <c r="E30" s="57"/>
    </row>
    <row r="31" spans="1:13" ht="52.8">
      <c r="A31" s="13"/>
      <c r="B31" s="14" t="s">
        <v>139</v>
      </c>
      <c r="C31" s="13"/>
      <c r="D31" s="15"/>
      <c r="E31" s="18" t="s">
        <v>140</v>
      </c>
      <c r="F31" s="7" t="s">
        <v>141</v>
      </c>
      <c r="G31" s="7"/>
      <c r="H31" s="7"/>
      <c r="I31" s="7"/>
      <c r="J31" s="7"/>
      <c r="K31" s="7"/>
      <c r="L31" s="7"/>
      <c r="M31" s="7"/>
    </row>
    <row r="32" spans="1:13" ht="26.4">
      <c r="A32" s="13"/>
      <c r="B32" s="58" t="s">
        <v>142</v>
      </c>
      <c r="C32" s="29">
        <v>1200</v>
      </c>
      <c r="D32" s="21" t="s">
        <v>59</v>
      </c>
      <c r="E32" s="18" t="s">
        <v>143</v>
      </c>
      <c r="I32" t="s">
        <v>144</v>
      </c>
    </row>
    <row r="33" spans="1:11">
      <c r="A33" s="13"/>
      <c r="B33" s="31" t="s">
        <v>145</v>
      </c>
      <c r="C33" s="35">
        <f xml:space="preserve"> 2*C$32/('SYSTEM SPECS'!C15 + 'SYSTEM SPECS'!C14)</f>
        <v>23.762376237623762</v>
      </c>
      <c r="D33" s="15" t="s">
        <v>24</v>
      </c>
      <c r="E33" s="13" t="s">
        <v>146</v>
      </c>
      <c r="F33">
        <f xml:space="preserve">  MAX(MIN( (2.7-F36)/40,  0.03), 0.0024) /  'SENSE PINS'!F6</f>
        <v>25.708192955367775</v>
      </c>
      <c r="I33" t="s">
        <v>147</v>
      </c>
      <c r="J33" t="s">
        <v>148</v>
      </c>
      <c r="K33" t="s">
        <v>149</v>
      </c>
    </row>
    <row r="34" spans="1:11" ht="26.4">
      <c r="A34" s="13"/>
      <c r="B34" s="31" t="s">
        <v>150</v>
      </c>
      <c r="C34" s="35">
        <f xml:space="preserve"> C$32/('SYSTEM SPECS'!C14)</f>
        <v>29.26829268292683</v>
      </c>
      <c r="D34" s="15" t="s">
        <v>24</v>
      </c>
      <c r="E34" s="18" t="s">
        <v>151</v>
      </c>
      <c r="F34">
        <f>MAX(MIN( (2.72-F37)/40,  0.0303), 0.0029) /  'SENSE PINS'!F6 / 0.99</f>
        <v>29.694896233327697</v>
      </c>
      <c r="I34">
        <f>'SYSTEM SPECS'!C14</f>
        <v>41</v>
      </c>
      <c r="J34" s="104">
        <f>C26</f>
        <v>28.559465066358108</v>
      </c>
      <c r="K34">
        <f>'SYSTEM SPECS'!C14*C28</f>
        <v>1240.1151931449947</v>
      </c>
    </row>
    <row r="35" spans="1:11">
      <c r="A35" s="13"/>
      <c r="B35" s="31" t="s">
        <v>152</v>
      </c>
      <c r="C35" s="35">
        <f xml:space="preserve"> C$32/('SYSTEM SPECS'!C15)</f>
        <v>20</v>
      </c>
      <c r="D35" s="15" t="s">
        <v>24</v>
      </c>
      <c r="E35" s="13" t="s">
        <v>153</v>
      </c>
      <c r="F35">
        <f xml:space="preserve">  MAX(MIN( (2.68-F38)/40,  0.0294), 0.0019) /  'SENSE PINS'!F6 / 1.01</f>
        <v>19.544596732681015</v>
      </c>
      <c r="I35">
        <f>'SYSTEM SPECS'!C13</f>
        <v>48</v>
      </c>
      <c r="J35">
        <f>C27</f>
        <v>29.391765439800377</v>
      </c>
      <c r="K35">
        <f>'SYSTEM SPECS'!C13*C27</f>
        <v>1410.804741110418</v>
      </c>
    </row>
    <row r="36" spans="1:11">
      <c r="A36" s="13"/>
      <c r="B36" s="31" t="s">
        <v>154</v>
      </c>
      <c r="C36" s="48">
        <f>2.7-(40*('SENSE PINS'!F$6)*C33)</f>
        <v>1.7495049504950497</v>
      </c>
      <c r="D36" s="15" t="s">
        <v>17</v>
      </c>
      <c r="E36" s="13" t="s">
        <v>155</v>
      </c>
      <c r="F36" s="21">
        <f>((2.7/F$45)+'SYSTEM SPECS'!C$13/F$41)/((1/F$47)+(1/F$45)+(1/F$41))</f>
        <v>1.6716722817852891</v>
      </c>
      <c r="I36">
        <f>'SYSTEM SPECS'!C15</f>
        <v>60</v>
      </c>
      <c r="J36">
        <f>C28</f>
        <v>30.246712027926698</v>
      </c>
      <c r="K36">
        <f>'SYSTEM SPECS'!C15*C28</f>
        <v>1814.8027216756018</v>
      </c>
    </row>
    <row r="37" spans="1:11" ht="39.6">
      <c r="A37" s="13"/>
      <c r="B37" s="31" t="s">
        <v>156</v>
      </c>
      <c r="C37" s="48">
        <f>2.68-(40*('SENSE PINS'!F$6)*C34)</f>
        <v>1.5092682926829268</v>
      </c>
      <c r="D37" s="15" t="s">
        <v>17</v>
      </c>
      <c r="E37" s="18" t="s">
        <v>157</v>
      </c>
      <c r="F37" s="21">
        <f>((2.7/F$45)+'SYSTEM SPECS'!C$14/F$41)/((1/F$47)+(1/F$45)+(1/F$41))</f>
        <v>1.5440821091602235</v>
      </c>
      <c r="I37" t="s">
        <v>158</v>
      </c>
    </row>
    <row r="38" spans="1:11" ht="39.6">
      <c r="A38" s="13"/>
      <c r="B38" s="31" t="s">
        <v>159</v>
      </c>
      <c r="C38" s="48">
        <f>2.72-(40*('SENSE PINS'!F$6)*C35)</f>
        <v>1.9200000000000002</v>
      </c>
      <c r="D38" s="15" t="s">
        <v>17</v>
      </c>
      <c r="E38" s="18" t="s">
        <v>160</v>
      </c>
      <c r="F38" s="21">
        <f>((2.7/F$45)+'SYSTEM SPECS'!C$15/F$41)/((1/F$47)+(1/F$45)+(1/F$41))</f>
        <v>1.8903982919996871</v>
      </c>
      <c r="I38">
        <f>'SYSTEM SPECS'!C14</f>
        <v>41</v>
      </c>
      <c r="J38" s="59">
        <f>F34</f>
        <v>29.694896233327697</v>
      </c>
      <c r="K38">
        <f>I38*J38</f>
        <v>1217.4907455664356</v>
      </c>
    </row>
    <row r="39" spans="1:11">
      <c r="A39" s="13"/>
      <c r="B39" s="31" t="s">
        <v>161</v>
      </c>
      <c r="C39" s="48">
        <f>C38-C37</f>
        <v>0.41073170731707331</v>
      </c>
      <c r="D39" s="15" t="s">
        <v>17</v>
      </c>
      <c r="E39" s="13" t="s">
        <v>162</v>
      </c>
      <c r="F39" s="60">
        <f>'SYSTEM SPECS'!C15 - 'SYSTEM SPECS'!C14</f>
        <v>19</v>
      </c>
      <c r="I39">
        <f>'SYSTEM SPECS'!C13</f>
        <v>48</v>
      </c>
      <c r="J39" s="59">
        <f>F33</f>
        <v>25.708192955367775</v>
      </c>
      <c r="K39">
        <f>I39*J39</f>
        <v>1233.9932618576531</v>
      </c>
    </row>
    <row r="40" spans="1:11" ht="39.6">
      <c r="A40" s="13"/>
      <c r="B40" s="31" t="s">
        <v>163</v>
      </c>
      <c r="C40" s="61">
        <f>((('SYSTEM SPECS'!C14 + 'SYSTEM SPECS'!C15)/2 - C36)/F40)/1000</f>
        <v>1950.0198019801978</v>
      </c>
      <c r="D40" s="62" t="s">
        <v>164</v>
      </c>
      <c r="E40" s="18" t="s">
        <v>165</v>
      </c>
      <c r="F40" s="63">
        <v>2.5000000000000001E-5</v>
      </c>
      <c r="G40">
        <f>C40*1000</f>
        <v>1950019.8019801979</v>
      </c>
      <c r="I40">
        <f>'SYSTEM SPECS'!C15</f>
        <v>60</v>
      </c>
      <c r="J40" s="59">
        <f>F35</f>
        <v>19.544596732681015</v>
      </c>
      <c r="K40">
        <f>I40*J40</f>
        <v>1172.6758039608608</v>
      </c>
    </row>
    <row r="41" spans="1:11">
      <c r="A41" s="13"/>
      <c r="B41" s="16" t="s">
        <v>166</v>
      </c>
      <c r="C41" s="51">
        <v>1959</v>
      </c>
      <c r="D41" s="62" t="s">
        <v>167</v>
      </c>
      <c r="E41" s="18" t="s">
        <v>168</v>
      </c>
      <c r="F41" s="63">
        <f>1000*IF(C41&gt;0,C41,C40)</f>
        <v>1959000</v>
      </c>
      <c r="G41">
        <f>C41*1000</f>
        <v>1959000</v>
      </c>
      <c r="J41" s="38"/>
    </row>
    <row r="42" spans="1:11" ht="26.4">
      <c r="A42" s="13"/>
      <c r="B42" s="31" t="s">
        <v>169</v>
      </c>
      <c r="C42" s="35">
        <f>0.001*F41*(0.95*C39/F39)/(1-(0.95*C39/F39))</f>
        <v>41.07470491558346</v>
      </c>
      <c r="D42" s="62" t="s">
        <v>164</v>
      </c>
      <c r="E42" s="13" t="s">
        <v>170</v>
      </c>
      <c r="F42">
        <f>C42*1000</f>
        <v>41074.704915583461</v>
      </c>
      <c r="I42" t="s">
        <v>171</v>
      </c>
    </row>
    <row r="43" spans="1:11">
      <c r="A43" s="13"/>
      <c r="B43" s="13"/>
      <c r="C43" s="15"/>
      <c r="D43" s="21"/>
      <c r="E43" s="13"/>
      <c r="I43" t="s">
        <v>147</v>
      </c>
      <c r="J43" t="s">
        <v>148</v>
      </c>
      <c r="K43" t="s">
        <v>149</v>
      </c>
    </row>
    <row r="44" spans="1:11" ht="26.4">
      <c r="A44" s="13"/>
      <c r="B44" s="31" t="s">
        <v>172</v>
      </c>
      <c r="C44" s="61">
        <f>0.001*2.7*F$42/(C$36-F40*F$42)</f>
        <v>153.46799706508398</v>
      </c>
      <c r="D44" s="62" t="s">
        <v>164</v>
      </c>
      <c r="E44" s="13" t="s">
        <v>173</v>
      </c>
      <c r="F44" s="59">
        <f>C44*1000</f>
        <v>153467.99706508397</v>
      </c>
      <c r="I44">
        <f>'SYSTEM SPECS'!C14</f>
        <v>41</v>
      </c>
      <c r="J44" s="59">
        <f>IF(C16="Constant Power",J38,J34)</f>
        <v>28.559465066358108</v>
      </c>
      <c r="K44">
        <f>IF(C16="Constant Power",K38,K34)</f>
        <v>1240.1151931449947</v>
      </c>
    </row>
    <row r="45" spans="1:11">
      <c r="A45" s="13"/>
      <c r="B45" s="16" t="s">
        <v>174</v>
      </c>
      <c r="C45" s="51">
        <v>121</v>
      </c>
      <c r="D45" s="62" t="s">
        <v>167</v>
      </c>
      <c r="E45" s="18" t="s">
        <v>168</v>
      </c>
      <c r="F45" s="63">
        <f>1000*IF(C45&gt;0,C45,C44)</f>
        <v>121000</v>
      </c>
      <c r="I45">
        <f>'SYSTEM SPECS'!C13</f>
        <v>48</v>
      </c>
      <c r="J45" s="59">
        <f>IF(C16="Constant Power",J39,J35)</f>
        <v>29.391765439800377</v>
      </c>
      <c r="K45">
        <f>IF(C16="Constant Power",K39,K35)</f>
        <v>1410.804741110418</v>
      </c>
    </row>
    <row r="46" spans="1:11" ht="26.4">
      <c r="A46" s="13"/>
      <c r="B46" s="31" t="s">
        <v>175</v>
      </c>
      <c r="C46" s="61">
        <f>0.99*C42*C44/(C44-C42)</f>
        <v>55.524809774222327</v>
      </c>
      <c r="D46" s="62" t="s">
        <v>164</v>
      </c>
      <c r="E46" s="13" t="s">
        <v>176</v>
      </c>
      <c r="F46">
        <f>C46*1000</f>
        <v>55524.809774222325</v>
      </c>
      <c r="I46">
        <f>'SYSTEM SPECS'!C15</f>
        <v>60</v>
      </c>
      <c r="J46" s="59">
        <f>IF(C16="Constant Power",J40,J36)</f>
        <v>30.246712027926698</v>
      </c>
      <c r="K46">
        <f>IF(C16="Constant Power",K40,K36)</f>
        <v>1814.8027216756018</v>
      </c>
    </row>
    <row r="47" spans="1:11">
      <c r="A47" s="13"/>
      <c r="B47" s="16" t="s">
        <v>177</v>
      </c>
      <c r="C47" s="51">
        <v>52</v>
      </c>
      <c r="D47" s="62" t="s">
        <v>167</v>
      </c>
      <c r="E47" s="18" t="s">
        <v>168</v>
      </c>
      <c r="F47" s="63">
        <f>1000*IF(C47&gt;0,C47,C46)</f>
        <v>52000</v>
      </c>
      <c r="G47">
        <f>C47*1000</f>
        <v>52000</v>
      </c>
      <c r="J47" s="38"/>
    </row>
    <row r="48" spans="1:11">
      <c r="A48" s="13"/>
      <c r="B48" s="13"/>
      <c r="C48" s="13"/>
      <c r="D48" s="15"/>
      <c r="E48" s="13"/>
      <c r="I48" t="s">
        <v>178</v>
      </c>
      <c r="J48" s="38">
        <f>MAX(J44,J45,J46)</f>
        <v>30.246712027926698</v>
      </c>
    </row>
    <row r="49" spans="1:10">
      <c r="A49" s="13"/>
      <c r="B49" s="31" t="s">
        <v>179</v>
      </c>
      <c r="C49" s="35">
        <f>F36</f>
        <v>1.6716722817852891</v>
      </c>
      <c r="D49" s="15" t="s">
        <v>17</v>
      </c>
      <c r="E49" s="128" t="s">
        <v>180</v>
      </c>
      <c r="I49" t="s">
        <v>181</v>
      </c>
      <c r="J49" s="38">
        <f>MIN(J44,J45,J46)</f>
        <v>28.559465066358108</v>
      </c>
    </row>
    <row r="50" spans="1:10">
      <c r="A50" s="13"/>
      <c r="B50" s="31" t="s">
        <v>182</v>
      </c>
      <c r="C50" s="35">
        <f>F37</f>
        <v>1.5440821091602235</v>
      </c>
      <c r="D50" s="15" t="s">
        <v>17</v>
      </c>
      <c r="E50" s="129"/>
      <c r="G50" t="s">
        <v>183</v>
      </c>
      <c r="I50" t="s">
        <v>184</v>
      </c>
      <c r="J50">
        <f>AVERAGE(J44,J45,J46)</f>
        <v>29.399314178028391</v>
      </c>
    </row>
    <row r="51" spans="1:10">
      <c r="A51" s="13"/>
      <c r="B51" s="31" t="s">
        <v>185</v>
      </c>
      <c r="C51" s="35">
        <f>F38</f>
        <v>1.8903982919996871</v>
      </c>
      <c r="D51" s="15" t="s">
        <v>17</v>
      </c>
      <c r="E51" s="130"/>
      <c r="G51">
        <v>8.9999999999999998E-4</v>
      </c>
    </row>
    <row r="52" spans="1:10">
      <c r="A52" s="13"/>
      <c r="C52" s="13"/>
      <c r="D52" s="13"/>
      <c r="E52" s="13"/>
      <c r="G52">
        <v>1.1000000000000001E-3</v>
      </c>
    </row>
    <row r="53" spans="1:10">
      <c r="A53" s="13"/>
      <c r="B53" s="31" t="s">
        <v>186</v>
      </c>
      <c r="C53" s="35">
        <f>F33</f>
        <v>25.708192955367775</v>
      </c>
      <c r="D53" s="15" t="s">
        <v>24</v>
      </c>
      <c r="E53" s="13"/>
      <c r="G53">
        <v>1.31E-3</v>
      </c>
    </row>
    <row r="54" spans="1:10">
      <c r="A54" s="13"/>
      <c r="B54" s="31" t="s">
        <v>187</v>
      </c>
      <c r="C54" s="35">
        <f>F34</f>
        <v>29.694896233327697</v>
      </c>
      <c r="D54" s="15" t="s">
        <v>24</v>
      </c>
      <c r="E54" s="13"/>
      <c r="F54" t="s">
        <v>188</v>
      </c>
      <c r="G54" t="s">
        <v>189</v>
      </c>
      <c r="H54" t="s">
        <v>190</v>
      </c>
    </row>
    <row r="55" spans="1:10">
      <c r="A55" s="13"/>
      <c r="B55" s="31" t="s">
        <v>191</v>
      </c>
      <c r="C55" s="35">
        <f>F35</f>
        <v>19.544596732681015</v>
      </c>
      <c r="D55" s="15" t="s">
        <v>24</v>
      </c>
      <c r="E55" s="13"/>
      <c r="F55">
        <f>2.7/((C4+C5)*1000)</f>
        <v>2.5390257664096296E-5</v>
      </c>
      <c r="G55">
        <f>2.7/((C21+C22)*1000)</f>
        <v>1.6843418590143482E-5</v>
      </c>
      <c r="H55">
        <f>2.7/(F45+F47)</f>
        <v>1.5606936416184973E-5</v>
      </c>
    </row>
    <row r="59" spans="1:10" ht="26.4">
      <c r="B59" s="31" t="s">
        <v>192</v>
      </c>
      <c r="C59" s="35">
        <f>IF(C$16="CONSTANT CURRENT",(J44-G53/(1.1*'SENSE PINS'!F$6)),(J49-G51/(1.01*'SENSE PINS'!F$6)))</f>
        <v>27.368555975449016</v>
      </c>
      <c r="D59" s="15" t="s">
        <v>24</v>
      </c>
      <c r="E59" s="18" t="s">
        <v>193</v>
      </c>
    </row>
    <row r="60" spans="1:10">
      <c r="B60" s="31" t="s">
        <v>194</v>
      </c>
      <c r="C60" s="35">
        <f>IF(C$16="CONSTANT CURRENT",(J45-G52/(1*'SENSE PINS'!F$6)),(J50-G52/(1*'SENSE PINS'!F$6)))</f>
        <v>28.291765439800376</v>
      </c>
      <c r="D60" s="15" t="s">
        <v>24</v>
      </c>
      <c r="E60" s="13" t="s">
        <v>195</v>
      </c>
    </row>
    <row r="61" spans="1:10">
      <c r="B61" s="31" t="s">
        <v>196</v>
      </c>
      <c r="C61" s="35">
        <f>IF(C$16="CONSTANT CURRENT",(J46-G51/(0.99*'SENSE PINS'!F$6)),(J48-G51/(1.01*'SENSE PINS'!F$6)))</f>
        <v>29.337621118835788</v>
      </c>
      <c r="D61" s="15" t="s">
        <v>24</v>
      </c>
      <c r="E61" s="13"/>
    </row>
    <row r="62" spans="1:10">
      <c r="B62" s="13"/>
      <c r="C62" s="13"/>
      <c r="D62" s="13"/>
      <c r="E62" s="13"/>
    </row>
    <row r="63" spans="1:10" ht="26.4">
      <c r="B63" s="33" t="s">
        <v>197</v>
      </c>
      <c r="C63" s="35">
        <f>(F55+IF(C16="Constant Power",H55,G55))*1000000</f>
        <v>42.233676254239782</v>
      </c>
      <c r="D63" s="15" t="s">
        <v>198</v>
      </c>
      <c r="E63" s="13" t="s">
        <v>199</v>
      </c>
    </row>
  </sheetData>
  <sheetProtection algorithmName="SHA-512" hashValue="m6JLF9qTDjLSqumIi6HbUBKNon4V9DY6jGCMggdTocOQcYvf0Oqj/vQr5NLmeD2K0Yxpi7PVFa7kn0jBU8jbyQ==" saltValue="+TJYX0qgZP+fPbD3bQ/lOg==" spinCount="100000" sheet="1" objects="1" scenarios="1" selectLockedCells="1"/>
  <mergeCells count="5">
    <mergeCell ref="B18:D18"/>
    <mergeCell ref="E49:E51"/>
    <mergeCell ref="E6:E8"/>
    <mergeCell ref="E9:E11"/>
    <mergeCell ref="E12:E14"/>
  </mergeCells>
  <phoneticPr fontId="26" type="noConversion"/>
  <conditionalFormatting sqref="A23:A25">
    <cfRule type="expression" dxfId="25" priority="21">
      <formula>C23&gt;1.2</formula>
    </cfRule>
  </conditionalFormatting>
  <conditionalFormatting sqref="A36:A38">
    <cfRule type="expression" dxfId="24" priority="8">
      <formula>C36&lt;1.5</formula>
    </cfRule>
  </conditionalFormatting>
  <conditionalFormatting sqref="A49:A51">
    <cfRule type="expression" dxfId="23" priority="20">
      <formula>C49&lt;1.5</formula>
    </cfRule>
  </conditionalFormatting>
  <conditionalFormatting sqref="B18 E18 B19:E28">
    <cfRule type="expression" dxfId="22" priority="17">
      <formula>$C$16="Constant Power"</formula>
    </cfRule>
  </conditionalFormatting>
  <conditionalFormatting sqref="B38">
    <cfRule type="expression" dxfId="21" priority="19">
      <formula>C36&lt;1.5</formula>
    </cfRule>
  </conditionalFormatting>
  <conditionalFormatting sqref="B49:C51">
    <cfRule type="expression" dxfId="20" priority="11">
      <formula>$C$16="Constant Current"</formula>
    </cfRule>
  </conditionalFormatting>
  <conditionalFormatting sqref="B53:C55">
    <cfRule type="expression" dxfId="19" priority="10">
      <formula>$C$16="Constant Current"</formula>
    </cfRule>
  </conditionalFormatting>
  <conditionalFormatting sqref="B31:E49 B50:D51 B52:E55">
    <cfRule type="expression" dxfId="18" priority="12">
      <formula>$C$16="Constant Current"</formula>
    </cfRule>
  </conditionalFormatting>
  <conditionalFormatting sqref="C6:C8">
    <cfRule type="cellIs" dxfId="17" priority="1" operator="greaterThan">
      <formula>1.35</formula>
    </cfRule>
    <cfRule type="cellIs" dxfId="16" priority="5" operator="lessThan">
      <formula>0.1</formula>
    </cfRule>
  </conditionalFormatting>
  <conditionalFormatting sqref="C23:C25">
    <cfRule type="cellIs" dxfId="15" priority="25" operator="greaterThan">
      <formula>1.2</formula>
    </cfRule>
  </conditionalFormatting>
  <conditionalFormatting sqref="C36:C38">
    <cfRule type="cellIs" dxfId="14" priority="22" operator="lessThan">
      <formula>1.5</formula>
    </cfRule>
  </conditionalFormatting>
  <conditionalFormatting sqref="C49:C51">
    <cfRule type="cellIs" dxfId="13" priority="9" operator="lessThan">
      <formula>1.5</formula>
    </cfRule>
  </conditionalFormatting>
  <conditionalFormatting sqref="C63">
    <cfRule type="cellIs" dxfId="12" priority="28" operator="greaterThan">
      <formula>100</formula>
    </cfRule>
  </conditionalFormatting>
  <dataValidations count="1">
    <dataValidation type="list" operator="equal" allowBlank="1" showErrorMessage="1" sqref="C16" xr:uid="{00000000-0002-0000-0400-000000000000}">
      <formula1>"Constant Current,Constant Power"</formula1>
      <formula2>0</formula2>
    </dataValidation>
  </dataValidations>
  <pageMargins left="0.78749999999999998" right="0.78749999999999998" top="1.0249999999999999" bottom="1.0249999999999999" header="0.78749999999999998" footer="0.78749999999999998"/>
  <pageSetup firstPageNumber="0" orientation="portrait" horizontalDpi="300" verticalDpi="300" r:id="rId1"/>
  <headerFooter>
    <oddHeader>&amp;C&amp;A</oddHeader>
    <oddFooter>&amp;CPage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18"/>
  <sheetViews>
    <sheetView zoomScaleNormal="100" workbookViewId="0">
      <selection activeCell="C3" sqref="C3"/>
    </sheetView>
  </sheetViews>
  <sheetFormatPr defaultRowHeight="13.2"/>
  <cols>
    <col min="1" max="1" width="11.5546875"/>
    <col min="2" max="2" width="40.109375" customWidth="1"/>
    <col min="3" max="3" width="15.109375" customWidth="1"/>
    <col min="4" max="4" width="11.5546875"/>
    <col min="5" max="5" width="57.109375" customWidth="1"/>
    <col min="6" max="1025" width="11.5546875"/>
  </cols>
  <sheetData>
    <row r="1" spans="1:6" ht="39.6">
      <c r="A1" s="5"/>
      <c r="B1" s="25" t="s">
        <v>51</v>
      </c>
      <c r="C1" s="5" t="s">
        <v>12</v>
      </c>
      <c r="D1" s="25" t="s">
        <v>13</v>
      </c>
      <c r="E1" s="5" t="s">
        <v>14</v>
      </c>
    </row>
    <row r="2" spans="1:6">
      <c r="C2" s="59"/>
    </row>
    <row r="3" spans="1:6">
      <c r="A3" s="13" t="s">
        <v>200</v>
      </c>
      <c r="B3" s="44" t="s">
        <v>201</v>
      </c>
      <c r="C3" s="64" t="s">
        <v>202</v>
      </c>
      <c r="D3" s="15" t="s">
        <v>203</v>
      </c>
      <c r="E3" s="13"/>
      <c r="F3" s="10"/>
    </row>
    <row r="4" spans="1:6">
      <c r="A4" s="13"/>
      <c r="B4" s="44" t="s">
        <v>204</v>
      </c>
      <c r="C4" s="27">
        <v>4.8</v>
      </c>
      <c r="D4" s="21" t="s">
        <v>54</v>
      </c>
      <c r="E4" s="13" t="s">
        <v>205</v>
      </c>
      <c r="F4" s="10">
        <f>C4/1000</f>
        <v>4.7999999999999996E-3</v>
      </c>
    </row>
    <row r="5" spans="1:6">
      <c r="A5" s="13"/>
      <c r="B5" s="44" t="s">
        <v>206</v>
      </c>
      <c r="C5" s="51">
        <v>1.5</v>
      </c>
      <c r="D5" s="30" t="s">
        <v>203</v>
      </c>
      <c r="E5" s="13" t="s">
        <v>207</v>
      </c>
      <c r="F5" s="10"/>
    </row>
    <row r="6" spans="1:6" ht="26.4">
      <c r="A6" s="13"/>
      <c r="B6" s="44" t="s">
        <v>208</v>
      </c>
      <c r="C6" s="51">
        <v>40</v>
      </c>
      <c r="D6" s="65" t="s">
        <v>209</v>
      </c>
      <c r="E6" s="18" t="s">
        <v>210</v>
      </c>
      <c r="F6" s="10"/>
    </row>
    <row r="7" spans="1:6" ht="15.6">
      <c r="A7" s="13"/>
      <c r="B7" s="44" t="s">
        <v>211</v>
      </c>
      <c r="C7" s="51">
        <v>175</v>
      </c>
      <c r="D7" s="66" t="s">
        <v>212</v>
      </c>
      <c r="E7" s="13" t="s">
        <v>213</v>
      </c>
      <c r="F7" s="10"/>
    </row>
    <row r="8" spans="1:6" ht="26.4">
      <c r="A8" s="13"/>
      <c r="B8" s="44" t="s">
        <v>214</v>
      </c>
      <c r="C8" s="29">
        <v>25</v>
      </c>
      <c r="D8" s="66" t="s">
        <v>212</v>
      </c>
      <c r="E8" s="18" t="s">
        <v>215</v>
      </c>
      <c r="F8" s="10"/>
    </row>
    <row r="9" spans="1:6" ht="26.4">
      <c r="A9" s="13"/>
      <c r="B9" s="16" t="s">
        <v>216</v>
      </c>
      <c r="C9" s="29">
        <v>2</v>
      </c>
      <c r="D9" s="30" t="s">
        <v>203</v>
      </c>
      <c r="E9" s="18" t="s">
        <v>217</v>
      </c>
      <c r="F9" s="10"/>
    </row>
    <row r="10" spans="1:6" ht="52.8">
      <c r="A10" s="13"/>
      <c r="B10" s="31" t="s">
        <v>218</v>
      </c>
      <c r="C10" s="35">
        <f>('SYSTEM SPECS'!C16)/C9</f>
        <v>15</v>
      </c>
      <c r="D10" s="30" t="s">
        <v>24</v>
      </c>
      <c r="E10" s="18" t="s">
        <v>219</v>
      </c>
      <c r="F10" s="10"/>
    </row>
    <row r="11" spans="1:6" ht="26.4">
      <c r="A11" s="13"/>
      <c r="B11" s="33" t="s">
        <v>220</v>
      </c>
      <c r="C11" s="35">
        <f>F11*1000</f>
        <v>7.2</v>
      </c>
      <c r="D11" s="21" t="s">
        <v>54</v>
      </c>
      <c r="E11" s="13"/>
      <c r="F11" s="10">
        <f>F4*C5</f>
        <v>7.1999999999999998E-3</v>
      </c>
    </row>
    <row r="12" spans="1:6" ht="26.4">
      <c r="A12" s="13"/>
      <c r="B12" s="33" t="s">
        <v>221</v>
      </c>
      <c r="C12" s="61">
        <f>(C10^2)*F11</f>
        <v>1.6199999999999999</v>
      </c>
      <c r="D12" s="15" t="s">
        <v>59</v>
      </c>
      <c r="E12" s="18" t="s">
        <v>222</v>
      </c>
      <c r="F12" s="10"/>
    </row>
    <row r="13" spans="1:6" ht="15.6">
      <c r="A13" s="13"/>
      <c r="B13" s="31" t="s">
        <v>223</v>
      </c>
      <c r="C13" s="35">
        <f>C6*C12</f>
        <v>64.8</v>
      </c>
      <c r="D13" s="66" t="s">
        <v>212</v>
      </c>
      <c r="E13" s="13"/>
      <c r="F13" s="10"/>
    </row>
    <row r="14" spans="1:6" ht="52.8">
      <c r="A14" s="13"/>
      <c r="B14" s="31" t="s">
        <v>224</v>
      </c>
      <c r="C14" s="61">
        <f>('SYSTEM SPECS'!C20)+C13</f>
        <v>124.8</v>
      </c>
      <c r="D14" s="66" t="s">
        <v>212</v>
      </c>
      <c r="E14" s="18" t="s">
        <v>225</v>
      </c>
      <c r="F14" s="10"/>
    </row>
    <row r="15" spans="1:6" ht="52.8">
      <c r="A15" s="13"/>
      <c r="B15" s="31" t="s">
        <v>226</v>
      </c>
      <c r="C15" s="61">
        <f>IF((C14&gt;=C7),100,(C7-C8)/(C7-C14))</f>
        <v>2.9880478087649402</v>
      </c>
      <c r="D15" s="15" t="s">
        <v>203</v>
      </c>
      <c r="E15" s="18" t="s">
        <v>227</v>
      </c>
      <c r="F15" s="10"/>
    </row>
    <row r="18" spans="1:2" ht="85.95" customHeight="1">
      <c r="A18" s="67" t="s">
        <v>228</v>
      </c>
      <c r="B18" s="52" t="s">
        <v>229</v>
      </c>
    </row>
  </sheetData>
  <sheetProtection algorithmName="SHA-512" hashValue="wvoAn6vqj2vjI2AbJu8IblLMQmDzFU2Zu+qNXoaPtyLba7zi4KJdFIyB7W66NyFlts8ux7tgBuF8uB766wlcSw==" saltValue="hRjOIzbzsnUlbJgUxXLn5w==" spinCount="100000" sheet="1" objects="1" scenarios="1" selectLockedCells="1"/>
  <phoneticPr fontId="26" type="noConversion"/>
  <conditionalFormatting sqref="C12">
    <cfRule type="expression" dxfId="11" priority="2">
      <formula>C12&gt;2</formula>
    </cfRule>
  </conditionalFormatting>
  <conditionalFormatting sqref="C14">
    <cfRule type="expression" dxfId="10" priority="3">
      <formula>C14&gt;125</formula>
    </cfRule>
  </conditionalFormatting>
  <conditionalFormatting sqref="E9">
    <cfRule type="expression" dxfId="9" priority="5">
      <formula>C9&gt;6</formula>
    </cfRule>
  </conditionalFormatting>
  <conditionalFormatting sqref="E15">
    <cfRule type="expression" dxfId="8" priority="4">
      <formula>C15&gt;2</formula>
    </cfRule>
  </conditionalFormatting>
  <pageMargins left="0.78749999999999998" right="0.78749999999999998" top="1.0249999999999999" bottom="1.0249999999999999" header="0.78749999999999998" footer="0.78749999999999998"/>
  <pageSetup firstPageNumber="0" orientation="portrait" horizontalDpi="300" verticalDpi="300" r:id="rId1"/>
  <headerFooter>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U78"/>
  <sheetViews>
    <sheetView zoomScaleNormal="100" workbookViewId="0">
      <selection activeCell="B15" sqref="B15"/>
    </sheetView>
  </sheetViews>
  <sheetFormatPr defaultRowHeight="13.2"/>
  <cols>
    <col min="1" max="8" width="11.5546875"/>
    <col min="9" max="9" width="17.33203125" customWidth="1"/>
    <col min="10" max="1025" width="11.5546875"/>
  </cols>
  <sheetData>
    <row r="1" spans="1:21">
      <c r="A1" s="68"/>
    </row>
    <row r="2" spans="1:21" ht="30" customHeight="1">
      <c r="A2" s="140" t="s">
        <v>230</v>
      </c>
      <c r="B2" s="140"/>
      <c r="C2" s="140"/>
      <c r="D2" s="140"/>
      <c r="E2" s="140"/>
      <c r="F2" s="140"/>
      <c r="G2" s="140"/>
      <c r="H2" s="140"/>
      <c r="I2" s="140"/>
      <c r="J2" s="140"/>
      <c r="K2" s="140" t="s">
        <v>231</v>
      </c>
      <c r="L2" s="140"/>
      <c r="M2" s="140"/>
      <c r="N2" s="140"/>
      <c r="O2" s="140"/>
      <c r="P2" s="140"/>
      <c r="Q2" s="140"/>
      <c r="R2" s="140"/>
      <c r="S2" s="140"/>
      <c r="T2" s="140"/>
      <c r="U2" s="69"/>
    </row>
    <row r="3" spans="1:21" ht="42" customHeight="1">
      <c r="A3" s="70" t="s">
        <v>232</v>
      </c>
      <c r="B3" s="139" t="s">
        <v>233</v>
      </c>
      <c r="C3" s="139"/>
      <c r="D3" s="139"/>
      <c r="E3" s="139"/>
      <c r="F3" s="139"/>
      <c r="G3" s="139"/>
      <c r="H3" s="139"/>
      <c r="I3" s="139"/>
      <c r="J3" s="139"/>
      <c r="K3" s="71"/>
      <c r="L3" s="139" t="s">
        <v>386</v>
      </c>
      <c r="M3" s="139"/>
      <c r="N3" s="139"/>
      <c r="O3" s="139"/>
      <c r="P3" s="139"/>
      <c r="Q3" s="139"/>
      <c r="R3" s="139"/>
      <c r="S3" s="139"/>
      <c r="T3" s="139"/>
      <c r="U3" s="69"/>
    </row>
    <row r="4" spans="1:21" ht="33" customHeight="1">
      <c r="A4" s="70" t="s">
        <v>234</v>
      </c>
      <c r="B4" s="139" t="s">
        <v>378</v>
      </c>
      <c r="C4" s="139"/>
      <c r="D4" s="139"/>
      <c r="E4" s="139"/>
      <c r="F4" s="139"/>
      <c r="G4" s="139"/>
      <c r="H4" s="139"/>
      <c r="I4" s="139"/>
      <c r="J4" s="139"/>
      <c r="K4" s="71"/>
      <c r="L4" s="71"/>
      <c r="M4" s="71"/>
      <c r="N4" s="71"/>
      <c r="O4" s="71"/>
      <c r="P4" s="71"/>
      <c r="Q4" s="71"/>
      <c r="R4" s="71"/>
      <c r="S4" s="71"/>
      <c r="T4" s="69"/>
      <c r="U4" s="69"/>
    </row>
    <row r="5" spans="1:21" ht="42" customHeight="1">
      <c r="A5" s="70" t="s">
        <v>235</v>
      </c>
      <c r="B5" s="139" t="s">
        <v>379</v>
      </c>
      <c r="C5" s="139"/>
      <c r="D5" s="139"/>
      <c r="E5" s="139"/>
      <c r="F5" s="139"/>
      <c r="G5" s="139"/>
      <c r="H5" s="139"/>
      <c r="I5" s="139"/>
      <c r="J5" s="139"/>
      <c r="K5" s="71"/>
      <c r="L5" s="139" t="s">
        <v>376</v>
      </c>
      <c r="M5" s="139"/>
      <c r="N5" s="139"/>
      <c r="O5" s="139"/>
      <c r="P5" s="139"/>
      <c r="Q5" s="139"/>
      <c r="R5" s="139"/>
      <c r="S5" s="139"/>
      <c r="T5" s="139"/>
      <c r="U5" s="69"/>
    </row>
    <row r="6" spans="1:21" ht="72" customHeight="1">
      <c r="A6" s="70" t="s">
        <v>236</v>
      </c>
      <c r="B6" s="139" t="s">
        <v>380</v>
      </c>
      <c r="C6" s="139"/>
      <c r="D6" s="139"/>
      <c r="E6" s="139"/>
      <c r="F6" s="139"/>
      <c r="G6" s="139"/>
      <c r="H6" s="139"/>
      <c r="I6" s="139"/>
      <c r="J6" s="139"/>
      <c r="K6" s="71"/>
      <c r="L6" s="139" t="s">
        <v>387</v>
      </c>
      <c r="M6" s="139"/>
      <c r="N6" s="139"/>
      <c r="O6" s="139"/>
      <c r="P6" s="139"/>
      <c r="Q6" s="139"/>
      <c r="R6" s="139"/>
      <c r="S6" s="139"/>
      <c r="T6" s="139"/>
      <c r="U6" s="69"/>
    </row>
    <row r="7" spans="1:21" ht="42" customHeight="1">
      <c r="A7" s="70" t="s">
        <v>237</v>
      </c>
      <c r="B7" s="139" t="s">
        <v>381</v>
      </c>
      <c r="C7" s="139"/>
      <c r="D7" s="139"/>
      <c r="E7" s="139"/>
      <c r="F7" s="139"/>
      <c r="G7" s="139"/>
      <c r="H7" s="139"/>
      <c r="I7" s="139"/>
      <c r="J7" s="139"/>
      <c r="K7" s="71"/>
      <c r="L7" s="139" t="s">
        <v>238</v>
      </c>
      <c r="M7" s="139"/>
      <c r="N7" s="139"/>
      <c r="O7" s="139"/>
      <c r="P7" s="139"/>
      <c r="Q7" s="139"/>
      <c r="R7" s="139"/>
      <c r="S7" s="139"/>
      <c r="T7" s="139"/>
      <c r="U7" s="69"/>
    </row>
    <row r="8" spans="1:21" ht="34.5" customHeight="1">
      <c r="A8" s="70" t="s">
        <v>239</v>
      </c>
      <c r="B8" s="139" t="s">
        <v>382</v>
      </c>
      <c r="C8" s="139"/>
      <c r="D8" s="139"/>
      <c r="E8" s="139"/>
      <c r="F8" s="139"/>
      <c r="G8" s="139"/>
      <c r="H8" s="139"/>
      <c r="I8" s="139"/>
      <c r="J8" s="139"/>
      <c r="K8" s="71"/>
      <c r="L8" s="71"/>
      <c r="M8" s="71"/>
      <c r="N8" s="71"/>
      <c r="O8" s="71"/>
      <c r="P8" s="71"/>
      <c r="Q8" s="71"/>
      <c r="R8" s="71"/>
      <c r="S8" s="71"/>
      <c r="T8" s="69"/>
      <c r="U8" s="69"/>
    </row>
    <row r="9" spans="1:21" ht="34.5" customHeight="1">
      <c r="A9" s="70" t="s">
        <v>240</v>
      </c>
      <c r="B9" s="139" t="s">
        <v>383</v>
      </c>
      <c r="C9" s="139"/>
      <c r="D9" s="139"/>
      <c r="E9" s="139"/>
      <c r="F9" s="139"/>
      <c r="G9" s="139"/>
      <c r="H9" s="139"/>
      <c r="I9" s="139"/>
      <c r="J9" s="139"/>
      <c r="K9" s="71"/>
      <c r="L9" s="71"/>
      <c r="M9" s="71"/>
      <c r="N9" s="71"/>
      <c r="O9" s="71"/>
      <c r="P9" s="71"/>
      <c r="Q9" s="71"/>
      <c r="R9" s="71"/>
      <c r="S9" s="71"/>
      <c r="T9" s="69"/>
      <c r="U9" s="69"/>
    </row>
    <row r="10" spans="1:21" ht="36" customHeight="1">
      <c r="A10" s="70" t="s">
        <v>241</v>
      </c>
      <c r="B10" s="139" t="s">
        <v>384</v>
      </c>
      <c r="C10" s="139"/>
      <c r="D10" s="139"/>
      <c r="E10" s="139"/>
      <c r="F10" s="139"/>
      <c r="G10" s="139"/>
      <c r="H10" s="139"/>
      <c r="I10" s="139"/>
      <c r="J10" s="139"/>
      <c r="K10" s="71"/>
      <c r="L10" s="71"/>
      <c r="M10" s="71"/>
      <c r="N10" s="71"/>
      <c r="O10" s="71"/>
      <c r="P10" s="71"/>
      <c r="Q10" s="71"/>
      <c r="R10" s="71"/>
      <c r="S10" s="71"/>
      <c r="T10" s="69"/>
      <c r="U10" s="69"/>
    </row>
    <row r="11" spans="1:21" ht="60" customHeight="1">
      <c r="A11" s="70" t="s">
        <v>242</v>
      </c>
      <c r="B11" s="139" t="s">
        <v>385</v>
      </c>
      <c r="C11" s="139"/>
      <c r="D11" s="139"/>
      <c r="E11" s="139"/>
      <c r="F11" s="139"/>
      <c r="G11" s="139"/>
      <c r="H11" s="139"/>
      <c r="I11" s="139"/>
      <c r="J11" s="139"/>
      <c r="K11" s="71"/>
      <c r="L11" s="139" t="s">
        <v>377</v>
      </c>
      <c r="M11" s="139"/>
      <c r="N11" s="139"/>
      <c r="O11" s="139"/>
      <c r="P11" s="139"/>
      <c r="Q11" s="139"/>
      <c r="R11" s="139"/>
      <c r="S11" s="139"/>
      <c r="T11" s="69"/>
      <c r="U11" s="69"/>
    </row>
    <row r="13" spans="1:21" ht="17.399999999999999">
      <c r="A13" s="72" t="s">
        <v>243</v>
      </c>
      <c r="B13" s="73"/>
    </row>
    <row r="14" spans="1:21" ht="26.4">
      <c r="A14" s="14" t="s">
        <v>244</v>
      </c>
      <c r="B14" s="11" t="s">
        <v>245</v>
      </c>
      <c r="C14" s="14" t="s">
        <v>246</v>
      </c>
      <c r="D14" s="14" t="s">
        <v>247</v>
      </c>
      <c r="E14" s="14" t="s">
        <v>248</v>
      </c>
      <c r="F14" s="11" t="s">
        <v>249</v>
      </c>
      <c r="G14" s="14" t="s">
        <v>250</v>
      </c>
      <c r="H14" s="14" t="s">
        <v>251</v>
      </c>
      <c r="I14" s="14" t="s">
        <v>252</v>
      </c>
      <c r="K14" s="74"/>
      <c r="L14" s="75"/>
      <c r="M14" s="75"/>
      <c r="N14" s="75"/>
      <c r="O14" s="75"/>
      <c r="P14" s="75"/>
      <c r="Q14" s="75"/>
      <c r="R14" s="75"/>
      <c r="S14" s="75"/>
      <c r="T14" s="76"/>
    </row>
    <row r="15" spans="1:21">
      <c r="A15" s="35">
        <f>'ISET&amp;ISTART PINS'!C61*'FET THERMALS'!C15</f>
        <v>87.662214498513308</v>
      </c>
      <c r="B15" s="77">
        <v>5.5</v>
      </c>
      <c r="C15" s="78">
        <v>22</v>
      </c>
      <c r="D15" s="51">
        <v>15</v>
      </c>
      <c r="E15" s="29">
        <v>330</v>
      </c>
      <c r="F15" s="79">
        <f>1 - ((1-0.001*B15*D15)/(0.001*B15*E15))</f>
        <v>0.49449035812672171</v>
      </c>
      <c r="G15" s="32">
        <f>IF(F15&lt;1,(IF(F15&gt;0,(-1*E15*C15*(0.000001)*LN(F15)*1000),1000)),0.000001) + 0.05</f>
        <v>5.1626925672031163</v>
      </c>
      <c r="H15" s="51">
        <v>100</v>
      </c>
      <c r="I15" s="80" t="str">
        <f>'FET THERMALS'!C3</f>
        <v>PSMN4R8-100BSE</v>
      </c>
      <c r="K15" s="81"/>
      <c r="L15" s="68"/>
      <c r="M15" s="68"/>
      <c r="N15" s="68"/>
      <c r="O15" s="82"/>
      <c r="P15" s="82"/>
      <c r="Q15" s="82"/>
      <c r="R15" s="82"/>
      <c r="S15" s="68"/>
      <c r="T15" s="83"/>
    </row>
    <row r="16" spans="1:21">
      <c r="A16" s="13"/>
      <c r="B16" s="77">
        <v>9</v>
      </c>
      <c r="C16" s="84">
        <f>$C$15</f>
        <v>22</v>
      </c>
      <c r="D16" s="85">
        <f>$D$15</f>
        <v>15</v>
      </c>
      <c r="E16" s="43">
        <f>$E$15</f>
        <v>330</v>
      </c>
      <c r="F16" s="79">
        <f>1 - ((1-0.001*B16*D16)/(0.001*B16*E16))</f>
        <v>0.7087542087542088</v>
      </c>
      <c r="G16" s="32">
        <f>IF(F16&lt;1,(IF(F16&gt;0,(-1*E16*C16*(0.000001)*LN(F16)*1000),1000)),0.000001) + 0.05</f>
        <v>2.5492294860387124</v>
      </c>
      <c r="H16" s="51">
        <v>10</v>
      </c>
      <c r="I16" s="13"/>
      <c r="K16" s="81"/>
      <c r="L16" s="68"/>
      <c r="M16" s="68"/>
      <c r="N16" s="68"/>
      <c r="O16" s="82"/>
      <c r="P16" s="82"/>
      <c r="Q16" s="82"/>
      <c r="R16" s="82"/>
      <c r="S16" s="68"/>
      <c r="T16" s="83"/>
    </row>
    <row r="17" spans="1:21">
      <c r="A17" s="13"/>
      <c r="B17" s="77">
        <v>22</v>
      </c>
      <c r="C17" s="84">
        <f>$C$15</f>
        <v>22</v>
      </c>
      <c r="D17" s="85">
        <f>$D$15</f>
        <v>15</v>
      </c>
      <c r="E17" s="43">
        <f>$E$15</f>
        <v>330</v>
      </c>
      <c r="F17" s="79">
        <f>1 - ((1-0.001*B17*D17)/(0.001*B17*E17))</f>
        <v>0.90771349862258954</v>
      </c>
      <c r="G17" s="32">
        <f>IF(F17&lt;1,(IF(F17&gt;0,(-1*E17*C17*(0.000001)*LN(F17)*1000),1000)),0.000001) + 0.05</f>
        <v>0.75296024713981713</v>
      </c>
      <c r="H17" s="51">
        <v>1</v>
      </c>
      <c r="I17" s="13"/>
      <c r="K17" s="81"/>
      <c r="L17" s="68"/>
      <c r="M17" s="68"/>
      <c r="N17" s="68"/>
      <c r="O17" s="82"/>
      <c r="P17" s="82"/>
      <c r="Q17" s="82"/>
      <c r="R17" s="82"/>
      <c r="S17" s="68"/>
      <c r="T17" s="83"/>
    </row>
    <row r="18" spans="1:21">
      <c r="A18" s="13"/>
      <c r="B18" s="77">
        <v>70</v>
      </c>
      <c r="C18" s="84">
        <f>$C$15</f>
        <v>22</v>
      </c>
      <c r="D18" s="85">
        <f>$D$15</f>
        <v>15</v>
      </c>
      <c r="E18" s="43">
        <f>$E$15</f>
        <v>330</v>
      </c>
      <c r="F18" s="79">
        <f>1 - ((1-0.001*B18*D18)/(0.001*B18*E18))</f>
        <v>1.0021645021645023</v>
      </c>
      <c r="G18" s="32">
        <f>IF(F18&lt;1,(IF(F18&gt;0,(-1*E18*C18*(0.000001)*LN(F18)*1000),1000)),0.000001) + 0.05</f>
        <v>5.0001000000000004E-2</v>
      </c>
      <c r="H18" s="51">
        <v>0.1</v>
      </c>
      <c r="I18" s="13"/>
      <c r="K18" s="81"/>
      <c r="L18" s="68"/>
      <c r="M18" s="68"/>
      <c r="N18" s="68"/>
      <c r="O18" s="82"/>
      <c r="P18" s="82"/>
      <c r="Q18" s="82"/>
      <c r="R18" s="82"/>
      <c r="S18" s="68"/>
      <c r="T18" s="83"/>
    </row>
    <row r="19" spans="1:21">
      <c r="C19" s="86"/>
      <c r="D19" s="86"/>
      <c r="E19" s="86"/>
      <c r="F19" s="86"/>
      <c r="G19" s="86"/>
      <c r="K19" s="81"/>
      <c r="L19" s="68"/>
      <c r="M19" s="68"/>
      <c r="N19" s="68"/>
      <c r="O19" s="82"/>
      <c r="P19" s="82"/>
      <c r="Q19" s="82"/>
      <c r="R19" s="82"/>
      <c r="S19" s="68"/>
      <c r="T19" s="83"/>
    </row>
    <row r="20" spans="1:21">
      <c r="C20" s="86"/>
      <c r="D20" s="86"/>
      <c r="E20" s="86"/>
      <c r="F20" s="86"/>
      <c r="G20" s="86"/>
      <c r="K20" s="81"/>
      <c r="L20" s="68"/>
      <c r="M20" s="68"/>
      <c r="N20" s="68"/>
      <c r="O20" s="82"/>
      <c r="P20" s="82"/>
      <c r="Q20" s="82"/>
      <c r="R20" s="82"/>
      <c r="S20" s="68"/>
      <c r="T20" s="83"/>
    </row>
    <row r="21" spans="1:21">
      <c r="K21" s="81"/>
      <c r="L21" s="68"/>
      <c r="M21" s="68"/>
      <c r="N21" s="68"/>
      <c r="O21" s="68"/>
      <c r="P21" s="68"/>
      <c r="Q21" s="68"/>
      <c r="R21" s="68"/>
      <c r="S21" s="68"/>
      <c r="T21" s="83"/>
    </row>
    <row r="22" spans="1:21">
      <c r="K22" s="81"/>
      <c r="L22" s="68"/>
      <c r="M22" s="68"/>
      <c r="N22" s="68"/>
      <c r="O22" s="68"/>
      <c r="P22" s="68"/>
      <c r="Q22" s="68"/>
      <c r="R22" s="68"/>
      <c r="S22" s="68"/>
      <c r="T22" s="83"/>
    </row>
    <row r="23" spans="1:21">
      <c r="K23" s="81"/>
      <c r="L23" s="68"/>
      <c r="M23" s="68"/>
      <c r="N23" s="68"/>
      <c r="O23" s="68"/>
      <c r="P23" s="68"/>
      <c r="Q23" s="68"/>
      <c r="R23" s="68"/>
      <c r="S23" s="68"/>
      <c r="T23" s="83"/>
    </row>
    <row r="24" spans="1:21">
      <c r="K24" s="81"/>
      <c r="L24" s="68"/>
      <c r="M24" s="68"/>
      <c r="N24" s="68"/>
      <c r="O24" s="68"/>
      <c r="P24" s="68"/>
      <c r="Q24" s="68"/>
      <c r="R24" s="68"/>
      <c r="S24" s="68"/>
      <c r="T24" s="83"/>
    </row>
    <row r="25" spans="1:21">
      <c r="K25" s="81"/>
      <c r="L25" s="68"/>
      <c r="M25" s="68"/>
      <c r="N25" s="68"/>
      <c r="O25" s="68"/>
      <c r="P25" s="68"/>
      <c r="Q25" s="68"/>
      <c r="R25" s="68"/>
      <c r="S25" s="68"/>
      <c r="T25" s="83"/>
    </row>
    <row r="26" spans="1:21">
      <c r="K26" s="81"/>
      <c r="L26" s="68"/>
      <c r="M26" s="68"/>
      <c r="N26" s="68"/>
      <c r="O26" s="68"/>
      <c r="P26" s="68"/>
      <c r="Q26" s="68"/>
      <c r="R26" s="68"/>
      <c r="S26" s="68"/>
      <c r="T26" s="83"/>
    </row>
    <row r="27" spans="1:21">
      <c r="K27" s="81"/>
      <c r="L27" s="68"/>
      <c r="M27" s="68"/>
      <c r="N27" s="68"/>
      <c r="O27" s="68"/>
      <c r="P27" s="68"/>
      <c r="Q27" s="68"/>
      <c r="R27" s="68"/>
      <c r="S27" s="68"/>
      <c r="T27" s="83"/>
    </row>
    <row r="28" spans="1:21">
      <c r="K28" s="81"/>
      <c r="L28" s="68"/>
      <c r="M28" s="68"/>
      <c r="N28" s="68"/>
      <c r="O28" s="68"/>
      <c r="P28" s="68"/>
      <c r="Q28" s="68"/>
      <c r="R28" s="68"/>
      <c r="S28" s="68"/>
      <c r="T28" s="83"/>
    </row>
    <row r="29" spans="1:21">
      <c r="K29" s="81"/>
      <c r="L29" s="68"/>
      <c r="M29" s="68"/>
      <c r="N29" s="68"/>
      <c r="O29" s="68"/>
      <c r="P29" s="68"/>
      <c r="Q29" s="68"/>
      <c r="R29" s="68"/>
      <c r="S29" s="68"/>
      <c r="T29" s="83"/>
      <c r="U29" t="s">
        <v>253</v>
      </c>
    </row>
    <row r="30" spans="1:21">
      <c r="K30" s="81"/>
      <c r="L30" s="68"/>
      <c r="M30" s="68"/>
      <c r="N30" s="68"/>
      <c r="O30" s="68"/>
      <c r="P30" s="68"/>
      <c r="Q30" s="68"/>
      <c r="R30" s="68"/>
      <c r="S30" s="68"/>
      <c r="T30" s="83"/>
    </row>
    <row r="31" spans="1:21">
      <c r="K31" s="81"/>
      <c r="L31" s="68"/>
      <c r="M31" s="68"/>
      <c r="N31" s="68"/>
      <c r="O31" s="68"/>
      <c r="P31" s="68"/>
      <c r="Q31" s="68"/>
      <c r="R31" s="68"/>
      <c r="S31" s="68"/>
      <c r="T31" s="83"/>
    </row>
    <row r="32" spans="1:21">
      <c r="K32" s="81"/>
      <c r="L32" s="68"/>
      <c r="M32" s="68"/>
      <c r="N32" s="68"/>
      <c r="O32" s="68"/>
      <c r="P32" s="68"/>
      <c r="Q32" s="68"/>
      <c r="R32" s="68"/>
      <c r="S32" s="68"/>
      <c r="T32" s="83"/>
    </row>
    <row r="33" spans="1:21">
      <c r="K33" s="81"/>
      <c r="L33" s="68"/>
      <c r="M33" s="68"/>
      <c r="N33" s="68"/>
      <c r="O33" s="68"/>
      <c r="P33" s="68"/>
      <c r="Q33" s="68"/>
      <c r="R33" s="68"/>
      <c r="S33" s="68"/>
      <c r="T33" s="83"/>
    </row>
    <row r="34" spans="1:21">
      <c r="K34" s="81"/>
      <c r="L34" s="68"/>
      <c r="M34" s="68"/>
      <c r="N34" s="68"/>
      <c r="O34" s="68"/>
      <c r="P34" s="68"/>
      <c r="Q34" s="68"/>
      <c r="R34" s="68"/>
      <c r="S34" s="68"/>
      <c r="T34" s="83"/>
    </row>
    <row r="35" spans="1:21">
      <c r="K35" s="81"/>
      <c r="L35" s="68"/>
      <c r="M35" s="68"/>
      <c r="N35" s="68"/>
      <c r="O35" s="68"/>
      <c r="P35" s="68"/>
      <c r="Q35" s="68"/>
      <c r="R35" s="68"/>
      <c r="S35" s="68"/>
      <c r="T35" s="83"/>
      <c r="U35" t="s">
        <v>254</v>
      </c>
    </row>
    <row r="36" spans="1:21">
      <c r="K36" s="81"/>
      <c r="L36" s="68"/>
      <c r="M36" s="68"/>
      <c r="N36" s="68"/>
      <c r="O36" s="68"/>
      <c r="P36" s="68"/>
      <c r="Q36" s="68"/>
      <c r="R36" s="68"/>
      <c r="S36" s="68"/>
      <c r="T36" s="83"/>
    </row>
    <row r="37" spans="1:21">
      <c r="K37" s="81"/>
      <c r="L37" s="68"/>
      <c r="M37" s="68"/>
      <c r="N37" s="68"/>
      <c r="O37" s="68"/>
      <c r="P37" s="68"/>
      <c r="Q37" s="68"/>
      <c r="R37" s="68"/>
      <c r="S37" s="68"/>
      <c r="T37" s="83"/>
    </row>
    <row r="38" spans="1:21">
      <c r="K38" s="81"/>
      <c r="L38" s="68"/>
      <c r="M38" s="68"/>
      <c r="N38" s="68"/>
      <c r="O38" s="68"/>
      <c r="P38" s="68"/>
      <c r="Q38" s="68"/>
      <c r="R38" s="68"/>
      <c r="S38" s="68"/>
      <c r="T38" s="83"/>
    </row>
    <row r="39" spans="1:21">
      <c r="K39" s="81"/>
      <c r="L39" s="68"/>
      <c r="M39" s="68"/>
      <c r="N39" s="68"/>
      <c r="O39" s="68"/>
      <c r="P39" s="68"/>
      <c r="Q39" s="68"/>
      <c r="R39" s="68"/>
      <c r="S39" s="68"/>
      <c r="T39" s="83"/>
    </row>
    <row r="40" spans="1:21">
      <c r="K40" s="81"/>
      <c r="L40" s="68"/>
      <c r="M40" s="68"/>
      <c r="N40" s="68"/>
      <c r="O40" s="68"/>
      <c r="P40" s="68"/>
      <c r="Q40" s="68"/>
      <c r="R40" s="68"/>
      <c r="S40" s="68"/>
      <c r="T40" s="83"/>
    </row>
    <row r="41" spans="1:21">
      <c r="K41" s="81"/>
      <c r="L41" s="68"/>
      <c r="M41" s="68"/>
      <c r="N41" s="68"/>
      <c r="O41" s="68"/>
      <c r="P41" s="68"/>
      <c r="Q41" s="68"/>
      <c r="R41" s="68"/>
      <c r="S41" s="68"/>
      <c r="T41" s="83"/>
    </row>
    <row r="42" spans="1:21">
      <c r="A42" s="7" t="s">
        <v>255</v>
      </c>
      <c r="B42" s="7"/>
      <c r="C42" s="7"/>
      <c r="D42" s="87"/>
      <c r="E42" s="88">
        <f>1/((D15+E15)*0.001)</f>
        <v>2.8985507246376807</v>
      </c>
      <c r="F42" s="89" t="s">
        <v>17</v>
      </c>
      <c r="K42" s="81"/>
      <c r="L42" s="68"/>
      <c r="M42" s="68"/>
      <c r="N42" s="68"/>
      <c r="O42" s="68"/>
      <c r="P42" s="68"/>
      <c r="Q42" s="68"/>
      <c r="R42" s="68"/>
      <c r="S42" s="68"/>
      <c r="T42" s="83"/>
    </row>
    <row r="43" spans="1:21">
      <c r="A43" s="7" t="s">
        <v>256</v>
      </c>
      <c r="B43" s="7"/>
      <c r="C43" s="7"/>
      <c r="D43" s="87"/>
      <c r="E43" s="88">
        <f>1/(D15*0.001)</f>
        <v>66.666666666666671</v>
      </c>
      <c r="F43" s="89" t="s">
        <v>17</v>
      </c>
      <c r="K43" s="81"/>
      <c r="L43" s="68"/>
      <c r="M43" s="68"/>
      <c r="N43" s="68"/>
      <c r="O43" s="68"/>
      <c r="P43" s="68"/>
      <c r="Q43" s="68"/>
      <c r="R43" s="68"/>
      <c r="S43" s="68"/>
      <c r="T43" s="83"/>
    </row>
    <row r="44" spans="1:21">
      <c r="K44" s="81"/>
      <c r="L44" s="68"/>
      <c r="M44" s="68"/>
      <c r="N44" s="68"/>
      <c r="O44" s="68"/>
      <c r="P44" s="68"/>
      <c r="Q44" s="68"/>
      <c r="R44" s="68"/>
      <c r="S44" s="68"/>
      <c r="T44" s="83"/>
    </row>
    <row r="45" spans="1:21">
      <c r="K45" s="81"/>
      <c r="L45" s="68"/>
      <c r="M45" s="68"/>
      <c r="N45" s="68"/>
      <c r="O45" s="68"/>
      <c r="P45" s="68"/>
      <c r="Q45" s="68"/>
      <c r="R45" s="68"/>
      <c r="S45" s="68"/>
      <c r="T45" s="83"/>
    </row>
    <row r="46" spans="1:21">
      <c r="K46" s="81"/>
      <c r="L46" s="68"/>
      <c r="M46" s="68"/>
      <c r="N46" s="68"/>
      <c r="O46" s="68"/>
      <c r="P46" s="68"/>
      <c r="Q46" s="68"/>
      <c r="R46" s="68"/>
      <c r="S46" s="68"/>
      <c r="T46" s="83"/>
    </row>
    <row r="47" spans="1:21" ht="25.2" customHeight="1">
      <c r="A47" s="90"/>
      <c r="B47" s="141" t="s">
        <v>257</v>
      </c>
      <c r="C47" s="142"/>
      <c r="D47" s="142"/>
      <c r="E47" s="142"/>
      <c r="F47" s="142"/>
      <c r="G47" s="142"/>
      <c r="H47" s="142"/>
      <c r="I47" s="142"/>
      <c r="J47" s="90"/>
      <c r="K47" s="81"/>
      <c r="L47" s="68"/>
      <c r="M47" s="68"/>
      <c r="N47" s="68"/>
      <c r="O47" s="68"/>
      <c r="P47" s="68"/>
      <c r="Q47" s="68"/>
      <c r="R47" s="68"/>
      <c r="S47" s="68"/>
      <c r="T47" s="83"/>
    </row>
    <row r="48" spans="1:21">
      <c r="K48" s="81"/>
      <c r="L48" s="68"/>
      <c r="M48" s="68"/>
      <c r="N48" s="68"/>
      <c r="O48" s="68"/>
      <c r="P48" s="68"/>
      <c r="Q48" s="68"/>
      <c r="R48" s="68"/>
      <c r="S48" s="68"/>
      <c r="T48" s="83"/>
    </row>
    <row r="49" spans="1:20" ht="17.399999999999999">
      <c r="A49" s="72" t="s">
        <v>258</v>
      </c>
      <c r="B49" s="73"/>
      <c r="K49" s="81"/>
      <c r="L49" s="68"/>
      <c r="M49" s="68"/>
      <c r="N49" s="68"/>
      <c r="O49" s="68"/>
      <c r="P49" s="68"/>
      <c r="Q49" s="68"/>
      <c r="R49" s="68"/>
      <c r="S49" s="68"/>
      <c r="T49" s="83"/>
    </row>
    <row r="50" spans="1:20" ht="26.4">
      <c r="A50" s="14" t="s">
        <v>244</v>
      </c>
      <c r="B50" s="11" t="s">
        <v>245</v>
      </c>
      <c r="C50" s="14" t="s">
        <v>259</v>
      </c>
      <c r="D50" s="14" t="s">
        <v>260</v>
      </c>
      <c r="E50" s="14" t="s">
        <v>261</v>
      </c>
      <c r="F50" s="11" t="s">
        <v>249</v>
      </c>
      <c r="G50" s="14" t="s">
        <v>250</v>
      </c>
      <c r="H50" s="14" t="s">
        <v>251</v>
      </c>
      <c r="I50" s="14" t="s">
        <v>252</v>
      </c>
      <c r="K50" s="91"/>
      <c r="L50" s="92"/>
      <c r="M50" s="92"/>
      <c r="N50" s="92"/>
      <c r="O50" s="92"/>
      <c r="P50" s="92"/>
      <c r="Q50" s="92"/>
      <c r="R50" s="92"/>
      <c r="S50" s="92"/>
      <c r="T50" s="93"/>
    </row>
    <row r="51" spans="1:20">
      <c r="A51" s="35">
        <f>'ISET&amp;ISTART PINS'!C11*'FET THERMALS'!C15</f>
        <v>12.46858790716456</v>
      </c>
      <c r="B51" s="77">
        <v>22</v>
      </c>
      <c r="C51" s="78">
        <v>47</v>
      </c>
      <c r="D51" s="51">
        <v>2.3199999999999998</v>
      </c>
      <c r="E51" s="29">
        <v>100</v>
      </c>
      <c r="F51" s="79">
        <f>1 - ((1-0.001*B51*D51)/(0.001*B51*E51))</f>
        <v>0.56865454545454541</v>
      </c>
      <c r="G51" s="61">
        <f>IF(F51&lt;1,(IF(F51&gt;0,(-1*E51*C51*0.000001*LN(F51)*1000),1000)),0.000001) + 0.05</f>
        <v>2.7030661283599557</v>
      </c>
      <c r="H51" s="51">
        <v>100</v>
      </c>
      <c r="I51" s="80" t="str">
        <f>'FET THERMALS'!C3</f>
        <v>PSMN4R8-100BSE</v>
      </c>
    </row>
    <row r="52" spans="1:20">
      <c r="A52" s="13"/>
      <c r="B52" s="77">
        <v>45</v>
      </c>
      <c r="C52" s="84">
        <f>$C$51</f>
        <v>47</v>
      </c>
      <c r="D52" s="85">
        <f>$D$51</f>
        <v>2.3199999999999998</v>
      </c>
      <c r="E52" s="43">
        <f>$E$51</f>
        <v>100</v>
      </c>
      <c r="F52" s="79">
        <f>1 - ((1-0.001*B52*D52)/(0.001*B52*E52))</f>
        <v>0.80097777777777779</v>
      </c>
      <c r="G52" s="61">
        <f>IF(F52&lt;1,IF(F52&gt;0,(-1*E52*C52*0.000001*LN(F52)*1000),1000),0.000001) + 0.05</f>
        <v>1.0930337543683857</v>
      </c>
      <c r="H52" s="51">
        <v>10</v>
      </c>
      <c r="I52" s="13"/>
    </row>
    <row r="53" spans="1:20">
      <c r="A53" s="13"/>
      <c r="B53" s="77">
        <v>90</v>
      </c>
      <c r="C53" s="84">
        <f>$C$51</f>
        <v>47</v>
      </c>
      <c r="D53" s="85">
        <f>$D$51</f>
        <v>2.3199999999999998</v>
      </c>
      <c r="E53" s="43">
        <f>$E$51</f>
        <v>100</v>
      </c>
      <c r="F53" s="79">
        <f>1 - ((1-0.001*B53*D53)/(0.001*B53*E53))</f>
        <v>0.91208888888888895</v>
      </c>
      <c r="G53" s="61">
        <f>IF(F53&lt;1,IF(F53&gt;0,(-1*E53*C53*0.000001*LN(F53)*1000),1000),0.000001) + 0.05</f>
        <v>0.4824837905206778</v>
      </c>
      <c r="H53" s="51">
        <v>1</v>
      </c>
      <c r="I53" s="13"/>
    </row>
    <row r="54" spans="1:20">
      <c r="A54" s="13"/>
      <c r="B54" s="77">
        <v>100</v>
      </c>
      <c r="C54" s="84">
        <f>$C$51</f>
        <v>47</v>
      </c>
      <c r="D54" s="85">
        <f>$D$51</f>
        <v>2.3199999999999998</v>
      </c>
      <c r="E54" s="43">
        <f>$E$51</f>
        <v>100</v>
      </c>
      <c r="F54" s="79">
        <f>1 - ((1-0.001*B54*D54)/(0.001*B54*E54))</f>
        <v>0.92320000000000002</v>
      </c>
      <c r="G54" s="61">
        <f>IF(F54&lt;1,IF(F54&gt;0,(-1*E54*C54*0.000001*LN(F54)*1000),1000),0.000001) + 0.05</f>
        <v>0.42557410117301903</v>
      </c>
      <c r="H54" s="51">
        <v>0.1</v>
      </c>
      <c r="I54" s="13"/>
    </row>
    <row r="55" spans="1:20">
      <c r="C55" s="86"/>
      <c r="D55" s="86"/>
      <c r="E55" s="86"/>
      <c r="F55" s="86"/>
      <c r="G55" s="86"/>
    </row>
    <row r="56" spans="1:20">
      <c r="C56" s="86"/>
      <c r="D56" s="86"/>
      <c r="E56" s="86"/>
      <c r="F56" s="86"/>
      <c r="G56" s="86"/>
    </row>
    <row r="77" spans="1:6">
      <c r="A77" s="7" t="s">
        <v>262</v>
      </c>
      <c r="B77" s="7"/>
      <c r="C77" s="7"/>
      <c r="D77" s="87"/>
      <c r="E77" s="88">
        <f>1/((D51+E51)*0.001)</f>
        <v>9.7732603596559819</v>
      </c>
      <c r="F77" s="89" t="s">
        <v>17</v>
      </c>
    </row>
    <row r="78" spans="1:6">
      <c r="A78" s="7" t="s">
        <v>263</v>
      </c>
      <c r="B78" s="7"/>
      <c r="C78" s="7"/>
      <c r="D78" s="87"/>
      <c r="E78" s="88">
        <f>1/(D51*0.001)</f>
        <v>431.0344827586207</v>
      </c>
      <c r="F78" s="89" t="s">
        <v>17</v>
      </c>
    </row>
  </sheetData>
  <sheetProtection algorithmName="SHA-512" hashValue="lxr174fNSmLXEvGjEURAo1Ysh1FutDt1W5eadkUabgm6N/GeNMcr4ygKk/HcTtS17C96y8Y7ELfpQzaoAY+YBQ==" saltValue="JrhQltad1p7VBggsYCzP8Q==" spinCount="100000" sheet="1" objects="1" scenarios="1" selectLockedCells="1"/>
  <mergeCells count="17">
    <mergeCell ref="B9:J9"/>
    <mergeCell ref="B10:J10"/>
    <mergeCell ref="B11:J11"/>
    <mergeCell ref="L11:S11"/>
    <mergeCell ref="B47:I47"/>
    <mergeCell ref="A2:J2"/>
    <mergeCell ref="K2:T2"/>
    <mergeCell ref="B3:J3"/>
    <mergeCell ref="L3:T3"/>
    <mergeCell ref="B4:J4"/>
    <mergeCell ref="B8:J8"/>
    <mergeCell ref="B5:J5"/>
    <mergeCell ref="L5:T5"/>
    <mergeCell ref="B6:J6"/>
    <mergeCell ref="L6:T6"/>
    <mergeCell ref="B7:J7"/>
    <mergeCell ref="L7:T7"/>
  </mergeCells>
  <phoneticPr fontId="26" type="noConversion"/>
  <conditionalFormatting sqref="E42">
    <cfRule type="cellIs" dxfId="7" priority="3" operator="greaterThan">
      <formula>B15</formula>
    </cfRule>
  </conditionalFormatting>
  <conditionalFormatting sqref="E77">
    <cfRule type="cellIs" dxfId="5" priority="4" operator="greaterThan">
      <formula>B51</formula>
    </cfRule>
  </conditionalFormatting>
  <pageMargins left="0.78749999999999998" right="0.78749999999999998" top="1.0249999999999999" bottom="1.0249999999999999" header="0.78749999999999998" footer="0.78749999999999998"/>
  <pageSetup firstPageNumber="0" orientation="portrait" horizontalDpi="300" verticalDpi="300" r:id="rId1"/>
  <headerFooter>
    <oddHeader>&amp;C&amp;A</oddHeader>
    <oddFooter>&amp;CPage &amp;P</oddFooter>
  </headerFooter>
  <drawing r:id="rId2"/>
  <extLst>
    <ext xmlns:x14="http://schemas.microsoft.com/office/spreadsheetml/2009/9/main" uri="{78C0D931-6437-407d-A8EE-F0AAD7539E65}">
      <x14:conditionalFormattings>
        <x14:conditionalFormatting xmlns:xm="http://schemas.microsoft.com/office/excel/2006/main">
          <x14:cfRule type="cellIs" priority="2" operator="greaterThan" id="{00000000-000E-0000-0600-000002000000}">
            <xm:f>'SYSTEM SPECS'!C15</xm:f>
            <x14:dxf>
              <font>
                <b val="0"/>
                <i val="0"/>
                <sz val="10"/>
                <color rgb="FF333333"/>
                <name val="Arial"/>
                <family val="2"/>
              </font>
              <fill>
                <patternFill>
                  <bgColor rgb="FFFFFFCC"/>
                </patternFill>
              </fill>
              <border diagonalUp="0" diagonalDown="0">
                <left style="thin">
                  <color auto="1"/>
                </left>
                <right style="thin">
                  <color auto="1"/>
                </right>
                <top style="thin">
                  <color auto="1"/>
                </top>
                <bottom style="thin">
                  <color auto="1"/>
                </bottom>
              </border>
            </x14:dxf>
          </x14:cfRule>
          <xm:sqref>E43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33"/>
  <sheetViews>
    <sheetView zoomScaleNormal="100" workbookViewId="0">
      <selection activeCell="C4" sqref="C4"/>
    </sheetView>
  </sheetViews>
  <sheetFormatPr defaultRowHeight="13.2"/>
  <cols>
    <col min="1" max="1" width="13.109375" customWidth="1"/>
    <col min="2" max="2" width="40.109375" customWidth="1"/>
    <col min="3" max="3" width="11.5546875" customWidth="1"/>
    <col min="4" max="4" width="11.5546875"/>
    <col min="5" max="5" width="25.33203125" customWidth="1"/>
    <col min="6" max="1025" width="11.5546875"/>
  </cols>
  <sheetData>
    <row r="1" spans="1:6">
      <c r="A1" s="5" t="s">
        <v>50</v>
      </c>
      <c r="B1" s="25" t="s">
        <v>264</v>
      </c>
      <c r="C1" s="108" t="s">
        <v>12</v>
      </c>
      <c r="D1" s="109" t="s">
        <v>265</v>
      </c>
      <c r="E1" s="5" t="s">
        <v>14</v>
      </c>
    </row>
    <row r="3" spans="1:6" ht="39.6">
      <c r="A3" s="14" t="s">
        <v>266</v>
      </c>
      <c r="B3" s="13"/>
      <c r="C3" s="13"/>
      <c r="D3" s="15"/>
      <c r="E3" s="13"/>
    </row>
    <row r="4" spans="1:6">
      <c r="A4" s="13"/>
      <c r="B4" s="16" t="s">
        <v>267</v>
      </c>
      <c r="C4" s="51">
        <v>41</v>
      </c>
      <c r="D4" s="30" t="s">
        <v>17</v>
      </c>
      <c r="E4" s="13" t="s">
        <v>268</v>
      </c>
    </row>
    <row r="5" spans="1:6">
      <c r="A5" s="13"/>
      <c r="B5" s="16" t="s">
        <v>269</v>
      </c>
      <c r="C5" s="51">
        <v>39</v>
      </c>
      <c r="D5" s="30" t="s">
        <v>17</v>
      </c>
      <c r="E5" s="13" t="s">
        <v>268</v>
      </c>
    </row>
    <row r="6" spans="1:6">
      <c r="A6" s="13"/>
      <c r="B6" s="16" t="s">
        <v>270</v>
      </c>
      <c r="C6" s="51">
        <v>60</v>
      </c>
      <c r="D6" s="30" t="s">
        <v>17</v>
      </c>
      <c r="E6" s="13" t="s">
        <v>271</v>
      </c>
    </row>
    <row r="7" spans="1:6">
      <c r="A7" s="13"/>
      <c r="B7" s="13"/>
      <c r="C7" s="106"/>
      <c r="D7" s="15"/>
    </row>
    <row r="8" spans="1:6">
      <c r="A8" s="107" t="s">
        <v>272</v>
      </c>
      <c r="B8" s="16" t="s">
        <v>273</v>
      </c>
      <c r="C8" s="51">
        <v>100</v>
      </c>
      <c r="D8" s="21" t="s">
        <v>274</v>
      </c>
      <c r="E8" s="13" t="s">
        <v>275</v>
      </c>
    </row>
    <row r="9" spans="1:6">
      <c r="A9" s="13"/>
      <c r="B9" s="31" t="s">
        <v>276</v>
      </c>
      <c r="C9" s="61">
        <f>C8/(C4-1)</f>
        <v>2.5</v>
      </c>
      <c r="D9" s="21" t="s">
        <v>274</v>
      </c>
      <c r="E9" s="18"/>
      <c r="F9" s="86"/>
    </row>
    <row r="10" spans="1:6">
      <c r="A10" s="13"/>
      <c r="B10" s="16" t="s">
        <v>277</v>
      </c>
      <c r="C10" s="51">
        <v>2.4900000000000002</v>
      </c>
      <c r="D10" s="21" t="s">
        <v>274</v>
      </c>
      <c r="E10" s="18"/>
      <c r="F10" s="86">
        <f>IF(C10&gt;0,C10,C9)</f>
        <v>2.4900000000000002</v>
      </c>
    </row>
    <row r="11" spans="1:6">
      <c r="A11" s="13"/>
      <c r="B11" s="31" t="s">
        <v>278</v>
      </c>
      <c r="C11" s="35">
        <f xml:space="preserve"> 1.01 * (1.01 * C8  +  0.99 * F10)/(0.99 * F10)</f>
        <v>42.391688369640178</v>
      </c>
      <c r="D11" s="21" t="s">
        <v>17</v>
      </c>
      <c r="E11" s="18" t="s">
        <v>279</v>
      </c>
      <c r="F11" s="86"/>
    </row>
    <row r="12" spans="1:6">
      <c r="A12" s="13"/>
      <c r="B12" s="31" t="s">
        <v>280</v>
      </c>
      <c r="C12" s="35">
        <f xml:space="preserve"> 1 * (C8  +  F10)/F10</f>
        <v>41.160642570281119</v>
      </c>
      <c r="D12" s="21" t="s">
        <v>17</v>
      </c>
      <c r="E12" s="18"/>
      <c r="F12" s="86"/>
    </row>
    <row r="13" spans="1:6">
      <c r="A13" s="13"/>
      <c r="B13" s="31" t="s">
        <v>281</v>
      </c>
      <c r="C13" s="35">
        <f xml:space="preserve"> 0.99 * (0.99 * C8  +  1.01 *  F10)/(1.01 * F10)</f>
        <v>39.961728498151018</v>
      </c>
      <c r="D13" s="21" t="s">
        <v>17</v>
      </c>
      <c r="E13" s="18" t="s">
        <v>279</v>
      </c>
      <c r="F13" s="86"/>
    </row>
    <row r="14" spans="1:6">
      <c r="A14" s="13"/>
      <c r="B14" s="13"/>
      <c r="C14" s="85"/>
      <c r="D14" s="21"/>
      <c r="E14" s="18"/>
      <c r="F14" s="86"/>
    </row>
    <row r="15" spans="1:6">
      <c r="A15" s="107" t="s">
        <v>282</v>
      </c>
      <c r="B15" s="16" t="s">
        <v>283</v>
      </c>
      <c r="C15" s="51">
        <v>100</v>
      </c>
      <c r="D15" s="21" t="s">
        <v>274</v>
      </c>
      <c r="E15" s="13" t="s">
        <v>275</v>
      </c>
      <c r="F15" s="86"/>
    </row>
    <row r="16" spans="1:6">
      <c r="A16" s="13"/>
      <c r="B16" s="31" t="s">
        <v>284</v>
      </c>
      <c r="C16" s="61">
        <f>C15/(C5/0.9 - 1)</f>
        <v>2.3622047244094486</v>
      </c>
      <c r="D16" s="21" t="s">
        <v>274</v>
      </c>
      <c r="E16" s="18"/>
      <c r="F16" s="86"/>
    </row>
    <row r="17" spans="1:6">
      <c r="A17" s="13"/>
      <c r="B17" s="16" t="s">
        <v>285</v>
      </c>
      <c r="C17" s="51">
        <v>2.3199999999999998</v>
      </c>
      <c r="D17" s="21" t="s">
        <v>274</v>
      </c>
      <c r="E17" s="18"/>
      <c r="F17" s="86">
        <f>IF(C17&gt;0,C17,C16)</f>
        <v>2.3199999999999998</v>
      </c>
    </row>
    <row r="18" spans="1:6">
      <c r="A18" s="13"/>
      <c r="B18" s="31" t="s">
        <v>286</v>
      </c>
      <c r="C18" s="35">
        <f xml:space="preserve"> 0.913 * (1.01 * C15  +  0.99 * F17)/(0.99 * F17)</f>
        <v>41.061467432950202</v>
      </c>
      <c r="D18" s="21" t="s">
        <v>17</v>
      </c>
      <c r="E18" s="18" t="s">
        <v>279</v>
      </c>
      <c r="F18" s="86"/>
    </row>
    <row r="19" spans="1:6">
      <c r="A19" s="13"/>
      <c r="B19" s="31" t="s">
        <v>287</v>
      </c>
      <c r="C19" s="35">
        <f xml:space="preserve"> 0.9 * (C15  +  F17)/F17</f>
        <v>39.693103448275863</v>
      </c>
      <c r="D19" s="21" t="s">
        <v>17</v>
      </c>
      <c r="E19" s="18"/>
      <c r="F19" s="86"/>
    </row>
    <row r="20" spans="1:6">
      <c r="A20" s="13"/>
      <c r="B20" s="31" t="s">
        <v>288</v>
      </c>
      <c r="C20" s="35">
        <f xml:space="preserve"> 0.887 * (0.99 * C15  +  1.01 * F17)/(1.01 * F17)</f>
        <v>38.362674291567082</v>
      </c>
      <c r="D20" s="21" t="s">
        <v>17</v>
      </c>
      <c r="E20" s="18" t="s">
        <v>279</v>
      </c>
      <c r="F20" s="86"/>
    </row>
    <row r="21" spans="1:6">
      <c r="A21" s="13"/>
      <c r="B21" s="13"/>
      <c r="C21" s="85"/>
      <c r="D21" s="21"/>
      <c r="E21" s="18"/>
      <c r="F21" s="86"/>
    </row>
    <row r="22" spans="1:6">
      <c r="A22" s="107" t="s">
        <v>289</v>
      </c>
      <c r="B22" s="16" t="s">
        <v>290</v>
      </c>
      <c r="C22" s="51">
        <v>100</v>
      </c>
      <c r="D22" s="21" t="s">
        <v>274</v>
      </c>
      <c r="E22" s="13" t="s">
        <v>275</v>
      </c>
      <c r="F22" s="86"/>
    </row>
    <row r="23" spans="1:6">
      <c r="A23" s="13"/>
      <c r="B23" s="31" t="s">
        <v>291</v>
      </c>
      <c r="C23" s="61">
        <f>C22/(C6-1)</f>
        <v>1.6949152542372881</v>
      </c>
      <c r="D23" s="21" t="s">
        <v>274</v>
      </c>
      <c r="E23" s="13"/>
      <c r="F23" s="86"/>
    </row>
    <row r="24" spans="1:6">
      <c r="A24" s="13"/>
      <c r="B24" s="16" t="s">
        <v>292</v>
      </c>
      <c r="C24" s="51"/>
      <c r="D24" s="21" t="s">
        <v>274</v>
      </c>
      <c r="E24" s="13"/>
      <c r="F24" s="86">
        <f>IF(C24&gt;0,C24,C23)</f>
        <v>1.6949152542372881</v>
      </c>
    </row>
    <row r="25" spans="1:6">
      <c r="A25" s="13"/>
      <c r="B25" s="31" t="s">
        <v>293</v>
      </c>
      <c r="C25" s="35">
        <f xml:space="preserve"> 1.01 * (1.01 * C22  +  0.99 * F24)/(0.99 * F24)</f>
        <v>61.803838383838389</v>
      </c>
      <c r="D25" s="21" t="s">
        <v>17</v>
      </c>
      <c r="E25" s="18" t="s">
        <v>279</v>
      </c>
      <c r="F25" s="86"/>
    </row>
    <row r="26" spans="1:6">
      <c r="A26" s="13"/>
      <c r="B26" s="31" t="s">
        <v>294</v>
      </c>
      <c r="C26" s="35">
        <f xml:space="preserve"> 1 * (C22 + F24)/F24</f>
        <v>60</v>
      </c>
      <c r="D26" s="21" t="s">
        <v>17</v>
      </c>
      <c r="E26" s="18"/>
      <c r="F26" s="86"/>
    </row>
    <row r="27" spans="1:6">
      <c r="A27" s="13"/>
      <c r="B27" s="31" t="s">
        <v>295</v>
      </c>
      <c r="C27" s="35">
        <f xml:space="preserve"> 0.99 * (0.99 * C22  +  1.01 *  F24)/(1.01 * F24)</f>
        <v>58.243366336633663</v>
      </c>
      <c r="D27" s="21" t="s">
        <v>17</v>
      </c>
      <c r="E27" s="18" t="s">
        <v>279</v>
      </c>
      <c r="F27" s="86"/>
    </row>
    <row r="28" spans="1:6">
      <c r="A28" s="13"/>
      <c r="B28" s="13"/>
      <c r="C28" s="13"/>
      <c r="D28" s="15"/>
      <c r="E28" s="13"/>
    </row>
    <row r="29" spans="1:6">
      <c r="A29" s="111" t="s">
        <v>296</v>
      </c>
      <c r="B29" s="31" t="s">
        <v>293</v>
      </c>
      <c r="C29" s="35">
        <f xml:space="preserve"> C25 - 4.5 * 1.01 * C22/1000</f>
        <v>61.349338383838386</v>
      </c>
      <c r="D29" s="15" t="s">
        <v>17</v>
      </c>
      <c r="E29" s="18" t="s">
        <v>279</v>
      </c>
      <c r="F29" s="38"/>
    </row>
    <row r="30" spans="1:6">
      <c r="A30" s="15"/>
      <c r="B30" s="31" t="s">
        <v>294</v>
      </c>
      <c r="C30" s="35">
        <f xml:space="preserve"> C26 - 5.25 * C22/1000</f>
        <v>59.475000000000001</v>
      </c>
      <c r="D30" s="15" t="s">
        <v>17</v>
      </c>
      <c r="E30" s="15"/>
      <c r="F30" s="38"/>
    </row>
    <row r="31" spans="1:6">
      <c r="A31" s="15"/>
      <c r="B31" s="31" t="s">
        <v>295</v>
      </c>
      <c r="C31" s="35">
        <f xml:space="preserve"> C27 - 6 * 0.99 * C22/1000</f>
        <v>57.649366336633662</v>
      </c>
      <c r="D31" s="15" t="s">
        <v>17</v>
      </c>
      <c r="E31" s="18" t="s">
        <v>279</v>
      </c>
      <c r="F31" s="38"/>
    </row>
    <row r="32" spans="1:6">
      <c r="C32" s="38"/>
      <c r="D32" s="36"/>
    </row>
    <row r="33" spans="3:4">
      <c r="C33" s="38"/>
      <c r="D33" s="36"/>
    </row>
  </sheetData>
  <sheetProtection algorithmName="SHA-512" hashValue="16nKka/IUZTCesWTx6ct33woG1IV7MmlJLHIc3D27YXL0zhJuO4Ah886AaSb4jaJoHFgs4LMKzTk0yX/oQQwrw==" saltValue="tcesU/YrgiBotel0J6FAdg==" spinCount="100000" sheet="1" objects="1" scenarios="1" selectLockedCells="1"/>
  <phoneticPr fontId="26" type="noConversion"/>
  <pageMargins left="0.78749999999999998" right="0.78749999999999998" top="1.0249999999999999" bottom="1.0249999999999999" header="0.78749999999999998" footer="0.78749999999999998"/>
  <pageSetup firstPageNumber="0" orientation="portrait" horizontalDpi="300" verticalDpi="300" r:id="rId1"/>
  <headerFooter>
    <oddHeader>&amp;C&amp;A</oddHeader>
    <oddFooter>&amp;CPage &amp;P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00000000-000E-0000-0700-000002000000}">
            <xm:f>C4 &gt; 'SYSTEM SPECS'!C14</xm:f>
            <x14:dxf>
              <font>
                <b val="0"/>
                <i val="0"/>
                <sz val="10"/>
                <color rgb="FFCC0000"/>
                <name val="Arial"/>
                <family val="2"/>
              </font>
              <fill>
                <patternFill>
                  <bgColor rgb="FFFFCCCC"/>
                </patternFill>
              </fill>
            </x14:dxf>
          </x14:cfRule>
          <xm:sqref>E4:E5</xm:sqref>
        </x14:conditionalFormatting>
        <x14:conditionalFormatting xmlns:xm="http://schemas.microsoft.com/office/excel/2006/main">
          <x14:cfRule type="expression" priority="3" id="{00000000-000E-0000-0700-000003000000}">
            <xm:f>C6 &lt; 'SYSTEM SPECS'!C15</xm:f>
            <x14:dxf>
              <font>
                <b val="0"/>
                <i val="0"/>
                <sz val="10"/>
                <color rgb="FFCC0000"/>
                <name val="Arial"/>
                <family val="2"/>
              </font>
              <fill>
                <patternFill>
                  <bgColor rgb="FFFFCCCC"/>
                </patternFill>
              </fill>
            </x14:dxf>
          </x14:cfRule>
          <xm:sqref>E6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K46"/>
  <sheetViews>
    <sheetView zoomScaleNormal="100" workbookViewId="0">
      <selection activeCell="C4" sqref="C4"/>
    </sheetView>
  </sheetViews>
  <sheetFormatPr defaultRowHeight="13.2"/>
  <cols>
    <col min="1" max="1" width="8.33203125" customWidth="1"/>
    <col min="2" max="2" width="33.88671875" customWidth="1"/>
    <col min="3" max="3" width="10.44140625" customWidth="1"/>
    <col min="4" max="4" width="9.44140625" customWidth="1"/>
    <col min="5" max="5" width="50.33203125" customWidth="1"/>
    <col min="6" max="1025" width="11.5546875"/>
  </cols>
  <sheetData>
    <row r="1" spans="1:6">
      <c r="A1" s="5" t="s">
        <v>50</v>
      </c>
      <c r="B1" s="25" t="s">
        <v>264</v>
      </c>
      <c r="C1" s="108" t="s">
        <v>12</v>
      </c>
      <c r="D1" s="109" t="s">
        <v>265</v>
      </c>
      <c r="E1" s="5" t="s">
        <v>14</v>
      </c>
    </row>
    <row r="3" spans="1:6">
      <c r="A3" s="11" t="s">
        <v>297</v>
      </c>
      <c r="B3" s="13"/>
      <c r="C3" s="13"/>
      <c r="D3" s="15"/>
      <c r="E3" s="13"/>
    </row>
    <row r="4" spans="1:6" ht="26.4">
      <c r="A4" s="13"/>
      <c r="B4" s="16" t="s">
        <v>298</v>
      </c>
      <c r="C4" s="78">
        <v>40</v>
      </c>
      <c r="D4" s="30" t="s">
        <v>17</v>
      </c>
      <c r="E4" s="18" t="s">
        <v>299</v>
      </c>
    </row>
    <row r="5" spans="1:6">
      <c r="A5" s="13"/>
      <c r="B5" s="16" t="s">
        <v>300</v>
      </c>
      <c r="C5" s="51">
        <v>2.65</v>
      </c>
      <c r="D5" s="21" t="s">
        <v>274</v>
      </c>
      <c r="E5" s="13" t="s">
        <v>301</v>
      </c>
    </row>
    <row r="6" spans="1:6" ht="26.4">
      <c r="A6" s="13"/>
      <c r="B6" s="33" t="s">
        <v>302</v>
      </c>
      <c r="C6" s="61">
        <f xml:space="preserve"> C5 * (C4/1.06 - 1)</f>
        <v>97.34999999999998</v>
      </c>
      <c r="D6" s="21" t="s">
        <v>274</v>
      </c>
      <c r="E6" s="18" t="s">
        <v>303</v>
      </c>
      <c r="F6" s="94"/>
    </row>
    <row r="7" spans="1:6" ht="26.4">
      <c r="A7" s="13"/>
      <c r="B7" s="58" t="s">
        <v>304</v>
      </c>
      <c r="C7" s="51">
        <v>100</v>
      </c>
      <c r="D7" s="21" t="s">
        <v>274</v>
      </c>
      <c r="E7" s="18" t="s">
        <v>305</v>
      </c>
      <c r="F7" s="95">
        <f xml:space="preserve"> IF(C7&gt;0, C7, C6)</f>
        <v>100</v>
      </c>
    </row>
    <row r="8" spans="1:6" ht="26.4">
      <c r="A8" s="13"/>
      <c r="B8" s="112" t="s">
        <v>306</v>
      </c>
      <c r="C8" s="113">
        <f xml:space="preserve"> 1.085 * (1.01* F7 + 0.99* C5) / (0.99*C5)  +  0.00005 * 1.01 * F7</f>
        <v>42.860585544120447</v>
      </c>
      <c r="D8" s="21" t="s">
        <v>17</v>
      </c>
      <c r="E8" s="18" t="s">
        <v>307</v>
      </c>
      <c r="F8" s="95"/>
    </row>
    <row r="9" spans="1:6" ht="26.4">
      <c r="A9" s="13"/>
      <c r="B9" s="33" t="s">
        <v>308</v>
      </c>
      <c r="C9" s="47">
        <f xml:space="preserve"> 1.06 * (C5 + F7) / C5</f>
        <v>41.06</v>
      </c>
      <c r="D9" s="15" t="s">
        <v>17</v>
      </c>
      <c r="E9" s="13" t="s">
        <v>309</v>
      </c>
      <c r="F9" s="94"/>
    </row>
    <row r="10" spans="1:6" ht="26.4">
      <c r="A10" s="13"/>
      <c r="B10" s="33" t="s">
        <v>310</v>
      </c>
      <c r="C10" s="47">
        <f xml:space="preserve"> 1.035 * (0.99* F7 + 1.01* C5) / (1.01*C5)</f>
        <v>39.318205679058472</v>
      </c>
      <c r="D10" s="15" t="s">
        <v>17</v>
      </c>
      <c r="E10" s="18" t="s">
        <v>307</v>
      </c>
      <c r="F10" s="94"/>
    </row>
    <row r="11" spans="1:6">
      <c r="A11" s="13"/>
      <c r="B11" s="18"/>
      <c r="C11" s="84"/>
      <c r="D11" s="15"/>
      <c r="E11" s="13"/>
      <c r="F11" s="94"/>
    </row>
    <row r="12" spans="1:6" ht="26.4">
      <c r="A12" s="13"/>
      <c r="B12" s="114" t="s">
        <v>311</v>
      </c>
      <c r="C12" s="115">
        <f xml:space="preserve">  1.01 * (1.01* F7 + 0.99* C5) /  (0.99*C5)  +  0.00005 * 1.01 * F7</f>
        <v>39.898221336001527</v>
      </c>
      <c r="D12" s="15" t="s">
        <v>17</v>
      </c>
      <c r="E12" s="13" t="s">
        <v>312</v>
      </c>
      <c r="F12" s="94"/>
    </row>
    <row r="13" spans="1:6" ht="26.4">
      <c r="A13" s="13"/>
      <c r="B13" s="33" t="s">
        <v>313</v>
      </c>
      <c r="C13" s="35">
        <f xml:space="preserve"> 1 * (F7 + C5) / C5</f>
        <v>38.735849056603776</v>
      </c>
      <c r="D13" s="21" t="s">
        <v>17</v>
      </c>
      <c r="E13" s="13"/>
      <c r="F13" s="36"/>
    </row>
    <row r="14" spans="1:6" ht="26.4">
      <c r="A14" s="13"/>
      <c r="B14" s="33" t="s">
        <v>314</v>
      </c>
      <c r="C14" s="35">
        <f xml:space="preserve"> 0.99 * (0.99* F7 + 1.01* C5) / (1.01*C5)</f>
        <v>37.608718475621146</v>
      </c>
      <c r="D14" s="21" t="s">
        <v>17</v>
      </c>
      <c r="E14" s="13" t="s">
        <v>312</v>
      </c>
      <c r="F14" s="36"/>
    </row>
    <row r="15" spans="1:6">
      <c r="A15" s="13"/>
      <c r="B15" s="18"/>
      <c r="C15" s="84"/>
      <c r="D15" s="21"/>
      <c r="E15" s="13"/>
      <c r="F15" s="36"/>
    </row>
    <row r="16" spans="1:6">
      <c r="A16" s="13"/>
      <c r="B16" s="33" t="s">
        <v>315</v>
      </c>
      <c r="C16" s="35">
        <f xml:space="preserve"> C8 - C12</f>
        <v>2.9623642081189203</v>
      </c>
      <c r="D16" s="21" t="s">
        <v>17</v>
      </c>
      <c r="E16" s="13"/>
      <c r="F16" s="36"/>
    </row>
    <row r="17" spans="1:11">
      <c r="A17" s="13"/>
      <c r="B17" s="33" t="s">
        <v>316</v>
      </c>
      <c r="C17" s="35">
        <f xml:space="preserve"> C9 - C13</f>
        <v>2.3241509433962264</v>
      </c>
      <c r="D17" s="21" t="s">
        <v>17</v>
      </c>
      <c r="E17" s="13"/>
      <c r="F17" s="94"/>
    </row>
    <row r="18" spans="1:11">
      <c r="A18" s="13"/>
      <c r="B18" s="33" t="s">
        <v>317</v>
      </c>
      <c r="C18" s="35">
        <f xml:space="preserve"> C10 -C14</f>
        <v>1.7094872034373267</v>
      </c>
      <c r="D18" s="21" t="s">
        <v>17</v>
      </c>
      <c r="E18" s="13"/>
      <c r="F18" s="94"/>
    </row>
    <row r="19" spans="1:11">
      <c r="B19" s="19"/>
      <c r="C19" s="98"/>
      <c r="D19" s="96"/>
      <c r="F19" s="94"/>
    </row>
    <row r="20" spans="1:11" ht="36.9" customHeight="1">
      <c r="A20" s="110" t="s">
        <v>228</v>
      </c>
      <c r="B20" s="143" t="s">
        <v>318</v>
      </c>
      <c r="C20" s="143"/>
      <c r="D20" s="96"/>
    </row>
    <row r="21" spans="1:11">
      <c r="D21" s="36"/>
    </row>
    <row r="22" spans="1:11">
      <c r="A22" s="111" t="s">
        <v>319</v>
      </c>
      <c r="C22" s="38"/>
      <c r="D22" s="39"/>
    </row>
    <row r="23" spans="1:11">
      <c r="C23" s="38"/>
      <c r="D23" s="39"/>
    </row>
    <row r="24" spans="1:11">
      <c r="A24" s="13"/>
      <c r="B24" s="16" t="s">
        <v>320</v>
      </c>
      <c r="C24" s="51">
        <v>1000000</v>
      </c>
      <c r="D24" s="15" t="s">
        <v>274</v>
      </c>
      <c r="E24" s="13" t="s">
        <v>321</v>
      </c>
    </row>
    <row r="25" spans="1:11">
      <c r="A25" s="13"/>
      <c r="B25" s="16" t="s">
        <v>322</v>
      </c>
      <c r="C25" s="51">
        <v>10</v>
      </c>
      <c r="D25" s="21" t="s">
        <v>274</v>
      </c>
      <c r="E25" s="13" t="s">
        <v>323</v>
      </c>
    </row>
    <row r="26" spans="1:11">
      <c r="A26" s="13"/>
      <c r="B26" s="16" t="s">
        <v>324</v>
      </c>
      <c r="C26" s="51">
        <v>3.3</v>
      </c>
      <c r="D26" s="15" t="s">
        <v>17</v>
      </c>
      <c r="E26" s="13"/>
    </row>
    <row r="27" spans="1:11">
      <c r="A27" s="13"/>
      <c r="B27" s="119" t="s">
        <v>325</v>
      </c>
      <c r="C27" s="118">
        <v>0.05</v>
      </c>
      <c r="D27" s="15" t="s">
        <v>326</v>
      </c>
      <c r="E27" s="13"/>
    </row>
    <row r="28" spans="1:11">
      <c r="A28" s="13"/>
      <c r="B28" s="119" t="s">
        <v>327</v>
      </c>
      <c r="C28" s="118">
        <v>0.01</v>
      </c>
      <c r="D28" s="15" t="s">
        <v>326</v>
      </c>
      <c r="E28" s="13"/>
    </row>
    <row r="29" spans="1:11">
      <c r="A29" s="13"/>
      <c r="B29" s="119" t="s">
        <v>328</v>
      </c>
      <c r="C29" s="118">
        <v>0.01</v>
      </c>
      <c r="D29" s="15" t="s">
        <v>326</v>
      </c>
      <c r="E29" s="13"/>
    </row>
    <row r="30" spans="1:11">
      <c r="A30" s="13"/>
      <c r="B30" s="13"/>
      <c r="C30" s="85"/>
      <c r="D30" s="15"/>
      <c r="E30" s="13"/>
    </row>
    <row r="31" spans="1:11">
      <c r="A31" s="13"/>
      <c r="B31" s="33" t="s">
        <v>306</v>
      </c>
      <c r="C31" s="116">
        <f xml:space="preserve"> 1.085 * ((0.99*C5) *( 1.01*F7)  +  (1.01*F7 +0.99* C5) *((1-C29)* RPGHYST)) /( 0.99*C5) /((1-C29)* RPGHYST)  +  0.00005 * 1.01 * F7</f>
        <v>42.860696236039637</v>
      </c>
      <c r="D31" s="15" t="s">
        <v>17</v>
      </c>
      <c r="E31" s="13"/>
      <c r="K31" s="59"/>
    </row>
    <row r="32" spans="1:11" ht="26.4">
      <c r="A32" s="13"/>
      <c r="B32" s="33" t="s">
        <v>308</v>
      </c>
      <c r="C32" s="116">
        <f xml:space="preserve"> 1.06 * (C5 * F7  +  (F7 + C5) * RPGHYST) / C5 / RPGHYST</f>
        <v>41.060105999999998</v>
      </c>
      <c r="D32" s="15" t="s">
        <v>17</v>
      </c>
      <c r="E32" s="13"/>
      <c r="K32" s="59"/>
    </row>
    <row r="33" spans="1:11">
      <c r="A33" s="13"/>
      <c r="B33" s="33" t="s">
        <v>310</v>
      </c>
      <c r="C33" s="116">
        <f xml:space="preserve"> 1.035 * ((1.01*C5) *( 0.99*F7)  +  (0.99*F7 +1.01* C5) *((1+C29)* RPGHYST)) /( 1.01*C5) /((1+C29)* RPGHYST)</f>
        <v>39.318307129553524</v>
      </c>
      <c r="D33" s="15" t="s">
        <v>17</v>
      </c>
      <c r="E33" s="13"/>
      <c r="K33" s="59"/>
    </row>
    <row r="34" spans="1:11">
      <c r="A34" s="13"/>
      <c r="B34" s="18"/>
      <c r="C34" s="117"/>
      <c r="D34" s="15"/>
      <c r="E34" s="13"/>
      <c r="K34" s="59"/>
    </row>
    <row r="35" spans="1:11">
      <c r="A35" s="13"/>
      <c r="B35" s="33" t="s">
        <v>329</v>
      </c>
      <c r="C35" s="116">
        <f xml:space="preserve"> C12  -  ((1-C27)*VPWRGDPU - 1.01) *(1.01* F7) / ((1-C28)*RPWRGDPU + (1-C29)* RPGHYST)  +  0.00005 * 1.01 * F7</f>
        <v>39.903054545240138</v>
      </c>
      <c r="D35" s="15" t="s">
        <v>17</v>
      </c>
      <c r="E35" s="13"/>
      <c r="K35" s="59"/>
    </row>
    <row r="36" spans="1:11" ht="26.4">
      <c r="A36" s="13"/>
      <c r="B36" s="33" t="s">
        <v>313</v>
      </c>
      <c r="C36" s="35">
        <f xml:space="preserve"> C13  -  (VPWRGDPU - 1) * F7 / (RPWRGDPU + RPGHYST)</f>
        <v>38.735619058903751</v>
      </c>
      <c r="D36" s="21" t="s">
        <v>17</v>
      </c>
      <c r="E36" s="13"/>
      <c r="K36" s="59"/>
    </row>
    <row r="37" spans="1:11" ht="26.4">
      <c r="A37" s="13"/>
      <c r="B37" s="33" t="s">
        <v>314</v>
      </c>
      <c r="C37" s="116">
        <f xml:space="preserve"> C14  -  ((1+C27)*VPWRGDPU - 0.99) *(0.99* F7) / ((1+C28)*RPWRGDPU + (1+C29)* RPGHYST)</f>
        <v>37.608475879037208</v>
      </c>
      <c r="D37" s="21" t="s">
        <v>17</v>
      </c>
      <c r="E37" s="13"/>
      <c r="K37" s="59"/>
    </row>
    <row r="38" spans="1:11">
      <c r="A38" s="13"/>
      <c r="B38" s="18"/>
      <c r="C38" s="84"/>
      <c r="D38" s="21"/>
      <c r="E38" s="13"/>
      <c r="K38" s="59"/>
    </row>
    <row r="39" spans="1:11">
      <c r="A39" s="13"/>
      <c r="B39" s="33" t="s">
        <v>315</v>
      </c>
      <c r="C39" s="35">
        <f xml:space="preserve"> C31 - C35</f>
        <v>2.9576416907994982</v>
      </c>
      <c r="D39" s="21" t="s">
        <v>17</v>
      </c>
      <c r="E39" s="13"/>
      <c r="K39" s="59"/>
    </row>
    <row r="40" spans="1:11">
      <c r="A40" s="13"/>
      <c r="B40" s="33" t="s">
        <v>316</v>
      </c>
      <c r="C40" s="35">
        <f xml:space="preserve"> C32 - C36</f>
        <v>2.3244869410962465</v>
      </c>
      <c r="D40" s="21" t="s">
        <v>17</v>
      </c>
      <c r="E40" s="13"/>
      <c r="K40" s="59"/>
    </row>
    <row r="41" spans="1:11">
      <c r="A41" s="13"/>
      <c r="B41" s="33" t="s">
        <v>317</v>
      </c>
      <c r="C41" s="35">
        <f xml:space="preserve"> C33 - C37</f>
        <v>1.7098312505163165</v>
      </c>
      <c r="D41" s="21" t="s">
        <v>17</v>
      </c>
      <c r="E41" s="13"/>
      <c r="K41" s="59"/>
    </row>
    <row r="42" spans="1:11">
      <c r="A42" s="123"/>
      <c r="B42" s="19"/>
      <c r="C42" s="124"/>
      <c r="D42" s="96"/>
      <c r="K42" s="59"/>
    </row>
    <row r="43" spans="1:11">
      <c r="B43" s="122" t="s">
        <v>394</v>
      </c>
    </row>
    <row r="44" spans="1:11">
      <c r="B44" s="33" t="s">
        <v>393</v>
      </c>
      <c r="C44" s="121">
        <f>((('SYSTEM SPECS'!C15* 1.01 *C5 *(1-C28)*RPWRGDPU)/((0.99*F7)+(1.01*C5)))+((1+C27)*VPWRGDPU*(((1+C29)*RPGHYST)+(((0.99*F7)*(1.01*C5))/((0.99*F7)+(1.01*C5))))))/(((1-C28)*RPWRGDPU)+((1+C29)*RPGHYST)+((0.99*F7*1.01*C5)/((0.99*F7) + (1.01*C5) )))</f>
        <v>3.4649815178208971</v>
      </c>
      <c r="D44" s="36" t="s">
        <v>17</v>
      </c>
      <c r="E44" t="s">
        <v>390</v>
      </c>
    </row>
    <row r="45" spans="1:11">
      <c r="B45" s="33" t="s">
        <v>388</v>
      </c>
      <c r="C45" s="121">
        <f xml:space="preserve"> ((('SYSTEM SPECS'!C13* C5 * RPWRGDPU ) / (F7 + C5) ) + ( VPWRGDPU * (RPGHYST + ( ( F7 * C5) /  (F7 + C5) ) ) ) ) / (RPWRGDPU + RPGHYST + ( (F7 * C5) / (F7 + C5) ))</f>
        <v>3.2999793918812994</v>
      </c>
      <c r="D45" s="36" t="s">
        <v>17</v>
      </c>
      <c r="E45" t="s">
        <v>391</v>
      </c>
    </row>
    <row r="46" spans="1:11">
      <c r="B46" s="33" t="s">
        <v>389</v>
      </c>
      <c r="C46" s="121">
        <f>((('SYSTEM SPECS'!C14* 0.99 *C5 *(1+C28)*RPWRGDPU)/((1.01*F7)+(0.99*C5)))+((1-C27)*VPWRGDPU*(((1-C29)*RPGHYST)+(((1.01*F7)*(0.99*C5))/((1.01*F7)+(0.99*C5))))))/(((1+C28)*RPWRGDPU)+((1-C29)*RPGHYST)+((1.01*F7*0.99*C5)/((1.01*F7) + (0.99*C5) )))</f>
        <v>3.1349786068642764</v>
      </c>
      <c r="D46" s="36" t="s">
        <v>17</v>
      </c>
      <c r="E46" t="s">
        <v>392</v>
      </c>
    </row>
  </sheetData>
  <sheetProtection algorithmName="SHA-512" hashValue="TvD2to+79W2NNZKnrUqfLEy9hwFrNYCqlJdf5rMgahFVODmxJSNUFpP1aK6a8cGSPNy1KQgaL4esrwBrng8oMQ==" saltValue="xqNKasjij+0I5oMyEpjUFQ==" spinCount="100000" sheet="1" objects="1" scenarios="1" selectLockedCells="1"/>
  <mergeCells count="1">
    <mergeCell ref="B20:C20"/>
  </mergeCells>
  <phoneticPr fontId="26" type="noConversion"/>
  <pageMargins left="0.78749999999999998" right="0.78749999999999998" top="1.0249999999999999" bottom="1.0249999999999999" header="0.78749999999999998" footer="0.78749999999999998"/>
  <pageSetup firstPageNumber="0" orientation="portrait" horizontalDpi="300" verticalDpi="300" r:id="rId1"/>
  <headerFooter>
    <oddHeader>&amp;C&amp;A</oddHeader>
    <oddFooter>&amp;CPage &amp;P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6" id="{00000000-000E-0000-0800-000004000000}">
            <xm:f>C9&gt;'OV&amp;UV PINS'!C12</xm:f>
            <x14:dxf>
              <font>
                <b val="0"/>
                <i val="0"/>
                <sz val="10"/>
                <color rgb="FFCC0000"/>
                <name val="Arial"/>
                <family val="2"/>
              </font>
              <fill>
                <patternFill>
                  <bgColor rgb="FFFFCCCC"/>
                </patternFill>
              </fill>
            </x14:dxf>
          </x14:cfRule>
          <xm:sqref>B20</xm:sqref>
        </x14:conditionalFormatting>
        <x14:conditionalFormatting xmlns:xm="http://schemas.microsoft.com/office/excel/2006/main">
          <x14:cfRule type="cellIs" priority="5" operator="greaterThan" id="{00000000-000E-0000-0800-000003000000}">
            <xm:f>'OV&amp;UV PINS'!C11</xm:f>
            <x14:dxf>
              <font>
                <b val="0"/>
                <i val="0"/>
                <sz val="10"/>
                <color rgb="FFCC0000"/>
                <name val="Arial"/>
                <family val="2"/>
              </font>
              <fill>
                <patternFill>
                  <bgColor rgb="FFFFCCCC"/>
                </patternFill>
              </fill>
            </x14:dxf>
          </x14:cfRule>
          <xm:sqref>C9:C11</xm:sqref>
        </x14:conditionalFormatting>
        <x14:conditionalFormatting xmlns:xm="http://schemas.microsoft.com/office/excel/2006/main">
          <x14:cfRule type="expression" priority="4" id="{00000000-000E-0000-0800-000002000000}">
            <xm:f>C4&gt;'SYSTEM SPECS'!C14</xm:f>
            <x14:dxf>
              <font>
                <b val="0"/>
                <i val="0"/>
                <sz val="10"/>
                <color rgb="FFCC0000"/>
                <name val="Arial"/>
                <family val="2"/>
              </font>
              <fill>
                <patternFill>
                  <bgColor rgb="FFFFCCCC"/>
                </patternFill>
              </fill>
            </x14:dxf>
          </x14:cfRule>
          <xm:sqref>E4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DISCLAIMER</vt:lpstr>
      <vt:lpstr>SYSTEM SPECS</vt:lpstr>
      <vt:lpstr>SENSE PINS</vt:lpstr>
      <vt:lpstr>GATE&amp;DVDT PINS</vt:lpstr>
      <vt:lpstr>ISET&amp;ISTART PINS</vt:lpstr>
      <vt:lpstr>FET THERMALS</vt:lpstr>
      <vt:lpstr>EFAULT&amp;ESTART PINS</vt:lpstr>
      <vt:lpstr>OV&amp;UV PINS</vt:lpstr>
      <vt:lpstr>PWRGD PIN</vt:lpstr>
      <vt:lpstr>RND PIN</vt:lpstr>
      <vt:lpstr>CHANGE LOG</vt:lpstr>
      <vt:lpstr>HIDDEN CALCULATIONS</vt:lpstr>
      <vt:lpstr>RPGHYST</vt:lpstr>
      <vt:lpstr>RPWRGDPU</vt:lpstr>
      <vt:lpstr>VPWRGDPU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ADM1272 Design Worksheet Tool</dc:title>
  <dc:subject/>
  <dc:creator>AnalogDevices@analog.onmicrosoft.com</dc:creator>
  <cp:keywords/>
  <dc:description/>
  <cp:lastModifiedBy>Tadikonda, Naga venkata sarath</cp:lastModifiedBy>
  <cp:revision>149</cp:revision>
  <dcterms:created xsi:type="dcterms:W3CDTF">2019-08-13T14:49:50Z</dcterms:created>
  <dcterms:modified xsi:type="dcterms:W3CDTF">2025-11-07T19:29:51Z</dcterms:modified>
  <cp:category/>
  <cp:contentStatus/>
</cp:coreProperties>
</file>