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eeder\Documents\HSC\Projects\Accuracy Analysis\"/>
    </mc:Choice>
  </mc:AlternateContent>
  <bookViews>
    <workbookView xWindow="120" yWindow="15" windowWidth="15480" windowHeight="9795" activeTab="1"/>
  </bookViews>
  <sheets>
    <sheet name="References" sheetId="6" r:id="rId1"/>
    <sheet name="Accuracy Analysis" sheetId="24" r:id="rId2"/>
  </sheets>
  <calcPr calcId="152511"/>
</workbook>
</file>

<file path=xl/calcChain.xml><?xml version="1.0" encoding="utf-8"?>
<calcChain xmlns="http://schemas.openxmlformats.org/spreadsheetml/2006/main">
  <c r="B29" i="24" l="1"/>
  <c r="E26" i="24"/>
  <c r="E29" i="24" s="1"/>
  <c r="E30" i="24" s="1"/>
  <c r="G25" i="24"/>
  <c r="E25" i="24"/>
  <c r="E27" i="24"/>
  <c r="G26" i="24"/>
  <c r="G11" i="24"/>
  <c r="E31" i="24" s="1"/>
  <c r="G10" i="24"/>
  <c r="G15" i="24"/>
  <c r="E45" i="24"/>
  <c r="E49" i="24"/>
  <c r="G44" i="24"/>
  <c r="E46" i="24" s="1"/>
  <c r="E44" i="24"/>
  <c r="G49" i="24"/>
  <c r="E38" i="24"/>
  <c r="E28" i="24"/>
  <c r="G45" i="24"/>
  <c r="E51" i="24"/>
  <c r="G46" i="24"/>
  <c r="G38" i="24"/>
  <c r="G28" i="24"/>
  <c r="B13" i="24"/>
  <c r="G62" i="24"/>
  <c r="G17" i="24"/>
  <c r="E13" i="24"/>
  <c r="B11" i="24"/>
  <c r="G61" i="24" s="1"/>
  <c r="G60" i="24"/>
  <c r="E39" i="24"/>
  <c r="G18" i="24"/>
  <c r="G39" i="24"/>
  <c r="B47" i="24"/>
  <c r="B20" i="24"/>
  <c r="G21" i="24"/>
  <c r="G20" i="24"/>
  <c r="B21" i="24"/>
  <c r="B26" i="24"/>
  <c r="B65" i="24"/>
  <c r="B67" i="24"/>
  <c r="G27" i="24"/>
  <c r="G33" i="24" s="1"/>
  <c r="G29" i="24"/>
  <c r="G58" i="24"/>
  <c r="G31" i="24"/>
  <c r="E33" i="24"/>
  <c r="G32" i="24"/>
  <c r="G34" i="24" s="1"/>
  <c r="G36" i="24" s="1"/>
  <c r="G47" i="24" s="1"/>
  <c r="G30" i="24"/>
  <c r="G35" i="24"/>
  <c r="G37" i="24"/>
  <c r="G48" i="24" s="1"/>
  <c r="G50" i="24" l="1"/>
  <c r="G19" i="24"/>
  <c r="G57" i="24"/>
  <c r="E50" i="24"/>
  <c r="E32" i="24"/>
  <c r="G59" i="24"/>
  <c r="G51" i="24"/>
  <c r="E34" i="24" l="1"/>
  <c r="E36" i="24" s="1"/>
  <c r="E47" i="24" s="1"/>
  <c r="E35" i="24"/>
  <c r="E37" i="24" s="1"/>
  <c r="E48" i="24" s="1"/>
  <c r="G52" i="24"/>
  <c r="G54" i="24" s="1"/>
  <c r="G53" i="24"/>
  <c r="G55" i="24" s="1"/>
  <c r="G68" i="24" s="1"/>
  <c r="G64" i="24"/>
  <c r="E53" i="24"/>
  <c r="E52" i="24"/>
  <c r="E55" i="24" l="1"/>
  <c r="E68" i="24" s="1"/>
  <c r="E69" i="24" s="1"/>
  <c r="E54" i="24"/>
  <c r="E67" i="24" s="1"/>
  <c r="G65" i="24"/>
  <c r="B9" i="24" s="1"/>
  <c r="E66" i="24"/>
  <c r="G66" i="24"/>
  <c r="E65" i="24"/>
  <c r="G67" i="24"/>
</calcChain>
</file>

<file path=xl/sharedStrings.xml><?xml version="1.0" encoding="utf-8"?>
<sst xmlns="http://schemas.openxmlformats.org/spreadsheetml/2006/main" count="182" uniqueCount="119">
  <si>
    <t>V</t>
  </si>
  <si>
    <t>Amp Gain (Av)</t>
  </si>
  <si>
    <t>Reference Material</t>
  </si>
  <si>
    <t>Ideal 12 bit SNR (dB)</t>
  </si>
  <si>
    <t>R. Reeder</t>
  </si>
  <si>
    <t>PSRR (dB)</t>
  </si>
  <si>
    <t>Resistor Coefficient (ppm/C)</t>
  </si>
  <si>
    <t>Resistor Tolerance (%)</t>
  </si>
  <si>
    <t>Min</t>
  </si>
  <si>
    <t>Max</t>
  </si>
  <si>
    <t>Ron1 (ohms)</t>
  </si>
  <si>
    <t>Total Tolerance (Gain = Rf1/Ri1)</t>
  </si>
  <si>
    <t>A</t>
  </si>
  <si>
    <t>Ohm</t>
  </si>
  <si>
    <t xml:space="preserve"> -----------------------&gt;</t>
  </si>
  <si>
    <t>ADC Total Accuracy Error</t>
  </si>
  <si>
    <t>Burr Brown App Note AB-063, What Designers Should Know about Data Converter Drift</t>
  </si>
  <si>
    <t>Analog Devices, Inc., The Data Converstion Handbook, pages 455-456</t>
  </si>
  <si>
    <t>Worst Case Circuit Design includes Component Tolerances, Ron Mancini, Texas Instruments, EDN April 15, 2004</t>
  </si>
  <si>
    <t>Analog Devices, Inc.App Note AN-539, Errors and Error Budget Analysis in Instrumentation Amplifier Applications, by Eamon Nash</t>
  </si>
  <si>
    <t>Resistor Packs Eliminate Temperature Drift, EDN June 19th, 1997</t>
  </si>
  <si>
    <t>Dataforth App Note AN504, Interpreting Drift Specifications</t>
  </si>
  <si>
    <t>Dataforth App Note AN102, Errors, What are they and how bad can they be?</t>
  </si>
  <si>
    <t>Gain</t>
  </si>
  <si>
    <t>Operational Amplifier Characteristics and Applications, 3rd Edition, Robert G. Irvine, pages 112-114</t>
  </si>
  <si>
    <t>1st Stage CMRR (dB)</t>
  </si>
  <si>
    <t>Signal Level</t>
  </si>
  <si>
    <t>Input Offset Voltage (V)</t>
  </si>
  <si>
    <t>Supply Voltage</t>
  </si>
  <si>
    <t>Input Signal (V)</t>
  </si>
  <si>
    <t>ADC Input FullScale (Diff Vpp)</t>
  </si>
  <si>
    <t>ADC Number of Bits</t>
  </si>
  <si>
    <t>ADC Input FullScale (Diff Vpp) w/ Margin</t>
  </si>
  <si>
    <t>Total Tolerance (Gain = Rf2/Ri2)</t>
  </si>
  <si>
    <t>Differential Amplifier Path</t>
  </si>
  <si>
    <t>%</t>
  </si>
  <si>
    <t>Clock Rate, Fs (Hz)</t>
  </si>
  <si>
    <t>Datasheet ENOB (bits)</t>
  </si>
  <si>
    <t>Input Offset Current (A)</t>
  </si>
  <si>
    <t>Unity Gain Buffer (Av)</t>
  </si>
  <si>
    <t>Ri1 (ohms)</t>
  </si>
  <si>
    <t>Rf1 (ohms)</t>
  </si>
  <si>
    <t>Rp1 (ohms) = Ri1 || Rf1</t>
  </si>
  <si>
    <t>Ro1 (ohms)</t>
  </si>
  <si>
    <t>Ri2 (ohms)</t>
  </si>
  <si>
    <t>Rf2 (ohms)</t>
  </si>
  <si>
    <t>Input Bias Current Drift (A/C)</t>
  </si>
  <si>
    <t>Input Current Offset*Rp1 - RTO</t>
  </si>
  <si>
    <t>Input Offset Voltage - RTO</t>
  </si>
  <si>
    <t>Input Bias Error - RTO</t>
  </si>
  <si>
    <t>Input Current Offset*Ri2 - RTO</t>
  </si>
  <si>
    <t>Offset Error (LSB) - 10 = DS</t>
  </si>
  <si>
    <t>Datasheet Min SINAD FS (dB)</t>
  </si>
  <si>
    <t>Resolution and Accuracy: Cousins, not Twins, Jon Titus, Design News 5/5/2003</t>
  </si>
  <si>
    <t>Sensor to ADC Design Example, TI Signal Conditioning Seminar</t>
  </si>
  <si>
    <t>System Error Budgets, Accuracy, Resolution, Author Unknown, 12/12/2005</t>
  </si>
  <si>
    <t>Signal Conditioning &amp; PC-Based Data Acquisition Handbook, IOTech Book, Web Description</t>
  </si>
  <si>
    <t>In_op (nA/sqrt(Hz))</t>
  </si>
  <si>
    <t>En_op (V/sqrt(Hz))</t>
  </si>
  <si>
    <t>BW (Hz)</t>
  </si>
  <si>
    <t>Kelvin (K)</t>
  </si>
  <si>
    <t>Boltzmann's Constant (W-s/K)</t>
  </si>
  <si>
    <t>Nosie BW (Hz) - 1st Order System</t>
  </si>
  <si>
    <t>Nosie BW (Hz) - 2nd Order System</t>
  </si>
  <si>
    <t>Noise Voltage (Vpp)</t>
  </si>
  <si>
    <t>Signal Chain Specifications</t>
  </si>
  <si>
    <r>
      <t>Total Tolerance (Ri1</t>
    </r>
    <r>
      <rPr>
        <u/>
        <sz val="10"/>
        <rFont val="Arial"/>
        <family val="2"/>
      </rPr>
      <t>+</t>
    </r>
    <r>
      <rPr>
        <sz val="10"/>
        <rFont val="Arial"/>
      </rPr>
      <t>Rtol</t>
    </r>
    <r>
      <rPr>
        <u/>
        <sz val="10"/>
        <rFont val="Arial"/>
        <family val="2"/>
      </rPr>
      <t>+</t>
    </r>
    <r>
      <rPr>
        <sz val="10"/>
        <rFont val="Arial"/>
      </rPr>
      <t>Rcoeff</t>
    </r>
    <r>
      <rPr>
        <u/>
        <sz val="10"/>
        <rFont val="Arial"/>
        <family val="2"/>
      </rPr>
      <t>+</t>
    </r>
    <r>
      <rPr>
        <sz val="10"/>
        <rFont val="Arial"/>
      </rPr>
      <t>Rlife)</t>
    </r>
  </si>
  <si>
    <r>
      <t>Total Tolerance (Rf1</t>
    </r>
    <r>
      <rPr>
        <u/>
        <sz val="10"/>
        <rFont val="Arial"/>
        <family val="2"/>
      </rPr>
      <t>+</t>
    </r>
    <r>
      <rPr>
        <sz val="10"/>
        <rFont val="Arial"/>
      </rPr>
      <t>Rtol</t>
    </r>
    <r>
      <rPr>
        <u/>
        <sz val="10"/>
        <rFont val="Arial"/>
        <family val="2"/>
      </rPr>
      <t>+</t>
    </r>
    <r>
      <rPr>
        <sz val="10"/>
        <rFont val="Arial"/>
      </rPr>
      <t>Rcoeff</t>
    </r>
    <r>
      <rPr>
        <u/>
        <sz val="10"/>
        <rFont val="Arial"/>
        <family val="2"/>
      </rPr>
      <t>+</t>
    </r>
    <r>
      <rPr>
        <sz val="10"/>
        <rFont val="Arial"/>
      </rPr>
      <t>Rlife)</t>
    </r>
  </si>
  <si>
    <r>
      <t>Total Tolerance (Rp1</t>
    </r>
    <r>
      <rPr>
        <u/>
        <sz val="10"/>
        <rFont val="Arial"/>
        <family val="2"/>
      </rPr>
      <t>+</t>
    </r>
    <r>
      <rPr>
        <sz val="10"/>
        <rFont val="Arial"/>
      </rPr>
      <t>Rtol</t>
    </r>
    <r>
      <rPr>
        <u/>
        <sz val="10"/>
        <rFont val="Arial"/>
        <family val="2"/>
      </rPr>
      <t>+</t>
    </r>
    <r>
      <rPr>
        <sz val="10"/>
        <rFont val="Arial"/>
      </rPr>
      <t>Rcoeff</t>
    </r>
    <r>
      <rPr>
        <u/>
        <sz val="10"/>
        <rFont val="Arial"/>
        <family val="2"/>
      </rPr>
      <t>+</t>
    </r>
    <r>
      <rPr>
        <sz val="10"/>
        <rFont val="Arial"/>
      </rPr>
      <t>Rlife)</t>
    </r>
  </si>
  <si>
    <r>
      <t>Total Tolerance (Ro1</t>
    </r>
    <r>
      <rPr>
        <u/>
        <sz val="10"/>
        <rFont val="Arial"/>
        <family val="2"/>
      </rPr>
      <t>+</t>
    </r>
    <r>
      <rPr>
        <sz val="10"/>
        <rFont val="Arial"/>
      </rPr>
      <t>Rtol</t>
    </r>
    <r>
      <rPr>
        <u/>
        <sz val="10"/>
        <rFont val="Arial"/>
        <family val="2"/>
      </rPr>
      <t>+</t>
    </r>
    <r>
      <rPr>
        <sz val="10"/>
        <rFont val="Arial"/>
      </rPr>
      <t>Rcoeff</t>
    </r>
    <r>
      <rPr>
        <u/>
        <sz val="10"/>
        <rFont val="Arial"/>
        <family val="2"/>
      </rPr>
      <t>+</t>
    </r>
    <r>
      <rPr>
        <sz val="10"/>
        <rFont val="Arial"/>
      </rPr>
      <t>Rlife)</t>
    </r>
  </si>
  <si>
    <r>
      <t>Total Tolerance (Ri2</t>
    </r>
    <r>
      <rPr>
        <u/>
        <sz val="10"/>
        <rFont val="Arial"/>
        <family val="2"/>
      </rPr>
      <t>+</t>
    </r>
    <r>
      <rPr>
        <sz val="10"/>
        <rFont val="Arial"/>
      </rPr>
      <t>Rtol</t>
    </r>
    <r>
      <rPr>
        <u/>
        <sz val="10"/>
        <rFont val="Arial"/>
        <family val="2"/>
      </rPr>
      <t>+</t>
    </r>
    <r>
      <rPr>
        <sz val="10"/>
        <rFont val="Arial"/>
      </rPr>
      <t>Rcoeff</t>
    </r>
    <r>
      <rPr>
        <u/>
        <sz val="10"/>
        <rFont val="Arial"/>
        <family val="2"/>
      </rPr>
      <t>+</t>
    </r>
    <r>
      <rPr>
        <sz val="10"/>
        <rFont val="Arial"/>
      </rPr>
      <t>Rlife)</t>
    </r>
  </si>
  <si>
    <r>
      <t>Total Tolerance (Rf2</t>
    </r>
    <r>
      <rPr>
        <u/>
        <sz val="10"/>
        <rFont val="Arial"/>
        <family val="2"/>
      </rPr>
      <t>+</t>
    </r>
    <r>
      <rPr>
        <sz val="10"/>
        <rFont val="Arial"/>
      </rPr>
      <t>Rtol</t>
    </r>
    <r>
      <rPr>
        <u/>
        <sz val="10"/>
        <rFont val="Arial"/>
        <family val="2"/>
      </rPr>
      <t>+</t>
    </r>
    <r>
      <rPr>
        <sz val="10"/>
        <rFont val="Arial"/>
      </rPr>
      <t>Rcoeff</t>
    </r>
    <r>
      <rPr>
        <u/>
        <sz val="10"/>
        <rFont val="Arial"/>
        <family val="2"/>
      </rPr>
      <t>+</t>
    </r>
    <r>
      <rPr>
        <sz val="10"/>
        <rFont val="Arial"/>
      </rPr>
      <t>Rlife)</t>
    </r>
  </si>
  <si>
    <r>
      <t>Total Tolerance (Ron1</t>
    </r>
    <r>
      <rPr>
        <u/>
        <sz val="10"/>
        <rFont val="Arial"/>
        <family val="2"/>
      </rPr>
      <t>+</t>
    </r>
    <r>
      <rPr>
        <sz val="10"/>
        <rFont val="Arial"/>
      </rPr>
      <t>Rtol</t>
    </r>
    <r>
      <rPr>
        <u/>
        <sz val="10"/>
        <rFont val="Arial"/>
        <family val="2"/>
      </rPr>
      <t>+</t>
    </r>
    <r>
      <rPr>
        <sz val="10"/>
        <rFont val="Arial"/>
      </rPr>
      <t>Rcoeff</t>
    </r>
    <r>
      <rPr>
        <sz val="10"/>
        <rFont val="Arial"/>
      </rPr>
      <t>)</t>
    </r>
  </si>
  <si>
    <t>ADC Buffer CMRR (dB)</t>
  </si>
  <si>
    <t>Resistor Life Tolerance (%), 5000hrs</t>
  </si>
  <si>
    <t>Channel to Channel Isolation Error</t>
  </si>
  <si>
    <t>Channel Isolation (dB)</t>
  </si>
  <si>
    <t>Accuracy Analysis</t>
  </si>
  <si>
    <t>Temp Range (-50 to +80C) -&gt; 1 = 26degC</t>
  </si>
  <si>
    <t>Radc (ohms)</t>
  </si>
  <si>
    <t>Total Accuracy Error (Summed)</t>
  </si>
  <si>
    <t>Total Accuracy Error (RSS)</t>
  </si>
  <si>
    <t>Signal Level (Summed)</t>
  </si>
  <si>
    <t>Signal Level (RSS)</t>
  </si>
  <si>
    <t xml:space="preserve">Input Bias Current      </t>
  </si>
  <si>
    <t>Input Offset Voltage Drift (V/C)</t>
  </si>
  <si>
    <t>1st Stage Total Accuracy Error (Sum)</t>
  </si>
  <si>
    <t>1st Stage Total Accuracy Error (RSS)</t>
  </si>
  <si>
    <t>Signal Level (Sum)</t>
  </si>
  <si>
    <t>ADC Buffer Total Accuracy Error (Sum)</t>
  </si>
  <si>
    <t>ADC Buffer Total Accuracy Error (RSS)</t>
  </si>
  <si>
    <t>ADC LSB Size (Vpp)</t>
  </si>
  <si>
    <t>Input Variables</t>
  </si>
  <si>
    <t>Error Accumulation</t>
  </si>
  <si>
    <t>Signal Accumulation</t>
  </si>
  <si>
    <t>Output Results</t>
  </si>
  <si>
    <t>Long Term Drift (V) (5000hrs)</t>
  </si>
  <si>
    <t>Linearity, INL (LSB) - 1.5 = DS</t>
  </si>
  <si>
    <t>Gain Error (%FSR) - 0.1 = DS</t>
  </si>
  <si>
    <t>Offset Drift (ppm/C) - 30 = DSFT</t>
  </si>
  <si>
    <t>Gain Drift (ppm/C) - 40 = DSFT</t>
  </si>
  <si>
    <t>PSRR (dB) - 5LSB = DSFT</t>
  </si>
  <si>
    <t>Definitions:</t>
  </si>
  <si>
    <t>RTO = Referred To Output</t>
  </si>
  <si>
    <t>DSFT = Datasheet Spec Full Temp Range</t>
  </si>
  <si>
    <t>DS = Datasheet Spec</t>
  </si>
  <si>
    <t>Color Key:</t>
  </si>
  <si>
    <t>Summed = Errors are Added</t>
  </si>
  <si>
    <t>RSS = Errors are Root Sum Squared</t>
  </si>
  <si>
    <t>DC Accuracy (+/-%)</t>
  </si>
  <si>
    <t>Amplifier Specs</t>
  </si>
  <si>
    <t>1st Stage Amp Circuit - Difference Amp</t>
  </si>
  <si>
    <t>Signal Mux</t>
  </si>
  <si>
    <t>Amp Buffer Circuit</t>
  </si>
  <si>
    <t>ADC Circuit</t>
  </si>
  <si>
    <t>Inputs</t>
  </si>
  <si>
    <t>LDO Reg Line Regulation (%/V)</t>
  </si>
  <si>
    <t>1st Stage Amp CMR (V)</t>
  </si>
  <si>
    <t>Amp Buffer CMR 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</si>
</sst>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0.0000"/>
    <numFmt numFmtId="175" formatCode="0.0000E+00"/>
    <numFmt numFmtId="176" formatCode="##0.00E+0"/>
    <numFmt numFmtId="177" formatCode="##0.0000E+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1" fontId="2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 applyFill="1"/>
    <xf numFmtId="11" fontId="2" fillId="0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1" fontId="1" fillId="0" borderId="0" xfId="0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2" fillId="0" borderId="0" xfId="0" applyNumberFormat="1" applyFont="1" applyFill="1" applyBorder="1" applyAlignment="1">
      <alignment horizontal="center"/>
    </xf>
    <xf numFmtId="0" fontId="1" fillId="2" borderId="0" xfId="0" applyFont="1" applyFill="1"/>
    <xf numFmtId="175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175" fontId="0" fillId="0" borderId="0" xfId="0" applyNumberFormat="1" applyAlignment="1">
      <alignment horizontal="center"/>
    </xf>
    <xf numFmtId="175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right"/>
    </xf>
    <xf numFmtId="166" fontId="0" fillId="0" borderId="0" xfId="0" applyNumberFormat="1" applyFill="1" applyAlignment="1">
      <alignment horizontal="right"/>
    </xf>
    <xf numFmtId="166" fontId="0" fillId="0" borderId="0" xfId="0" applyNumberFormat="1"/>
    <xf numFmtId="0" fontId="0" fillId="0" borderId="0" xfId="0" applyFill="1" applyAlignment="1">
      <alignment horizontal="left"/>
    </xf>
    <xf numFmtId="176" fontId="0" fillId="0" borderId="0" xfId="0" applyNumberFormat="1" applyAlignment="1">
      <alignment horizontal="center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6" fontId="1" fillId="0" borderId="0" xfId="0" applyNumberFormat="1" applyFont="1" applyAlignment="1">
      <alignment horizontal="center"/>
    </xf>
    <xf numFmtId="176" fontId="0" fillId="0" borderId="0" xfId="0" applyNumberForma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177" fontId="0" fillId="0" borderId="0" xfId="0" applyNumberFormat="1" applyFill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176" fontId="1" fillId="4" borderId="0" xfId="0" applyNumberFormat="1" applyFont="1" applyFill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3" borderId="1" xfId="0" applyFill="1" applyBorder="1"/>
    <xf numFmtId="166" fontId="1" fillId="0" borderId="0" xfId="0" applyNumberFormat="1" applyFont="1" applyFill="1" applyAlignment="1">
      <alignment horizontal="right"/>
    </xf>
    <xf numFmtId="177" fontId="0" fillId="0" borderId="0" xfId="0" applyNumberFormat="1" applyAlignment="1">
      <alignment horizontal="center"/>
    </xf>
    <xf numFmtId="177" fontId="0" fillId="5" borderId="0" xfId="0" applyNumberFormat="1" applyFill="1" applyAlignment="1">
      <alignment horizontal="center"/>
    </xf>
    <xf numFmtId="177" fontId="0" fillId="6" borderId="0" xfId="0" applyNumberFormat="1" applyFill="1" applyAlignment="1">
      <alignment horizontal="center"/>
    </xf>
    <xf numFmtId="177" fontId="2" fillId="5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175" fontId="0" fillId="3" borderId="0" xfId="0" applyNumberForma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" fillId="0" borderId="2" xfId="0" applyFont="1" applyBorder="1"/>
    <xf numFmtId="175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75" fontId="0" fillId="0" borderId="4" xfId="0" applyNumberFormat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175" fontId="0" fillId="0" borderId="5" xfId="0" applyNumberFormat="1" applyBorder="1" applyAlignment="1">
      <alignment horizontal="center"/>
    </xf>
    <xf numFmtId="0" fontId="0" fillId="0" borderId="6" xfId="0" applyBorder="1"/>
    <xf numFmtId="175" fontId="0" fillId="0" borderId="0" xfId="0" applyNumberForma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75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75" fontId="0" fillId="0" borderId="9" xfId="0" applyNumberFormat="1" applyBorder="1" applyAlignment="1">
      <alignment horizontal="center"/>
    </xf>
    <xf numFmtId="175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70</xdr:row>
          <xdr:rowOff>142875</xdr:rowOff>
        </xdr:from>
        <xdr:to>
          <xdr:col>8</xdr:col>
          <xdr:colOff>276225</xdr:colOff>
          <xdr:row>87</xdr:row>
          <xdr:rowOff>95250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6"/>
  <sheetViews>
    <sheetView workbookViewId="0">
      <selection activeCell="D37" sqref="D37"/>
    </sheetView>
  </sheetViews>
  <sheetFormatPr defaultRowHeight="12.75" x14ac:dyDescent="0.2"/>
  <sheetData>
    <row r="4" spans="3:4" x14ac:dyDescent="0.2">
      <c r="D4" s="1" t="s">
        <v>2</v>
      </c>
    </row>
    <row r="5" spans="3:4" x14ac:dyDescent="0.2">
      <c r="C5">
        <v>1</v>
      </c>
      <c r="D5" t="s">
        <v>16</v>
      </c>
    </row>
    <row r="6" spans="3:4" x14ac:dyDescent="0.2">
      <c r="C6">
        <v>2</v>
      </c>
      <c r="D6" t="s">
        <v>17</v>
      </c>
    </row>
    <row r="7" spans="3:4" x14ac:dyDescent="0.2">
      <c r="C7">
        <v>3</v>
      </c>
      <c r="D7" t="s">
        <v>24</v>
      </c>
    </row>
    <row r="8" spans="3:4" x14ac:dyDescent="0.2">
      <c r="C8">
        <v>4</v>
      </c>
      <c r="D8" t="s">
        <v>18</v>
      </c>
    </row>
    <row r="9" spans="3:4" x14ac:dyDescent="0.2">
      <c r="C9">
        <v>5</v>
      </c>
      <c r="D9" t="s">
        <v>19</v>
      </c>
    </row>
    <row r="10" spans="3:4" x14ac:dyDescent="0.2">
      <c r="C10">
        <v>6</v>
      </c>
      <c r="D10" t="s">
        <v>20</v>
      </c>
    </row>
    <row r="11" spans="3:4" x14ac:dyDescent="0.2">
      <c r="C11">
        <v>7</v>
      </c>
      <c r="D11" t="s">
        <v>21</v>
      </c>
    </row>
    <row r="12" spans="3:4" x14ac:dyDescent="0.2">
      <c r="C12">
        <v>8</v>
      </c>
      <c r="D12" t="s">
        <v>22</v>
      </c>
    </row>
    <row r="13" spans="3:4" x14ac:dyDescent="0.2">
      <c r="C13">
        <v>9</v>
      </c>
      <c r="D13" t="s">
        <v>53</v>
      </c>
    </row>
    <row r="14" spans="3:4" x14ac:dyDescent="0.2">
      <c r="C14">
        <v>10</v>
      </c>
      <c r="D14" t="s">
        <v>54</v>
      </c>
    </row>
    <row r="15" spans="3:4" x14ac:dyDescent="0.2">
      <c r="C15">
        <v>11</v>
      </c>
      <c r="D15" t="s">
        <v>56</v>
      </c>
    </row>
    <row r="16" spans="3:4" x14ac:dyDescent="0.2">
      <c r="C16">
        <v>12</v>
      </c>
      <c r="D16" t="s">
        <v>55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tabSelected="1" topLeftCell="A43" workbookViewId="0">
      <selection activeCell="A52" sqref="A52"/>
    </sheetView>
  </sheetViews>
  <sheetFormatPr defaultRowHeight="12.75" x14ac:dyDescent="0.2"/>
  <cols>
    <col min="1" max="1" width="41" customWidth="1"/>
    <col min="2" max="2" width="14.28515625" style="47" bestFit="1" customWidth="1"/>
    <col min="3" max="3" width="4" bestFit="1" customWidth="1"/>
    <col min="4" max="4" width="41.5703125" bestFit="1" customWidth="1"/>
    <col min="5" max="5" width="13.28515625" style="44" customWidth="1"/>
    <col min="6" max="6" width="5" style="5" bestFit="1" customWidth="1"/>
    <col min="7" max="7" width="12.5703125" style="44" customWidth="1"/>
    <col min="8" max="8" width="2.85546875" style="5" customWidth="1"/>
    <col min="9" max="9" width="27.5703125" style="5" customWidth="1"/>
    <col min="10" max="10" width="12.42578125" style="38" bestFit="1" customWidth="1"/>
    <col min="11" max="11" width="5" style="5" bestFit="1" customWidth="1"/>
    <col min="12" max="12" width="13" style="38" customWidth="1"/>
    <col min="13" max="13" width="10.7109375" style="5" bestFit="1" customWidth="1"/>
    <col min="14" max="14" width="13.28515625" style="10" bestFit="1" customWidth="1"/>
    <col min="15" max="15" width="5" style="5" bestFit="1" customWidth="1"/>
    <col min="16" max="16" width="13.28515625" style="5" bestFit="1" customWidth="1"/>
  </cols>
  <sheetData>
    <row r="1" spans="1:19" ht="13.5" thickBot="1" x14ac:dyDescent="0.25"/>
    <row r="2" spans="1:19" ht="13.5" thickBot="1" x14ac:dyDescent="0.25">
      <c r="A2" s="1" t="s">
        <v>77</v>
      </c>
      <c r="B2" s="17">
        <v>42339</v>
      </c>
      <c r="D2" s="1"/>
      <c r="I2" s="68" t="s">
        <v>106</v>
      </c>
      <c r="J2" s="69"/>
      <c r="K2" s="70"/>
      <c r="L2" s="71"/>
    </row>
    <row r="3" spans="1:19" ht="13.5" thickBot="1" x14ac:dyDescent="0.25">
      <c r="A3" s="1" t="s">
        <v>4</v>
      </c>
      <c r="D3" s="1"/>
      <c r="I3" s="54"/>
      <c r="J3" s="72" t="s">
        <v>92</v>
      </c>
      <c r="K3" s="73"/>
      <c r="L3" s="74"/>
    </row>
    <row r="4" spans="1:19" ht="13.5" thickBot="1" x14ac:dyDescent="0.25">
      <c r="I4" s="55"/>
      <c r="J4" s="72" t="s">
        <v>94</v>
      </c>
      <c r="K4" s="73"/>
      <c r="L4" s="74"/>
    </row>
    <row r="5" spans="1:19" ht="13.5" thickBot="1" x14ac:dyDescent="0.25">
      <c r="A5" s="1" t="s">
        <v>65</v>
      </c>
      <c r="D5" s="8" t="s">
        <v>34</v>
      </c>
      <c r="I5" s="56"/>
      <c r="J5" s="72" t="s">
        <v>93</v>
      </c>
      <c r="K5" s="73"/>
      <c r="L5" s="74"/>
    </row>
    <row r="6" spans="1:19" ht="13.5" thickBot="1" x14ac:dyDescent="0.25">
      <c r="D6" s="8"/>
      <c r="I6" s="57"/>
      <c r="J6" s="72" t="s">
        <v>95</v>
      </c>
      <c r="K6" s="73"/>
      <c r="L6" s="74"/>
    </row>
    <row r="7" spans="1:19" x14ac:dyDescent="0.2">
      <c r="A7" s="4" t="s">
        <v>29</v>
      </c>
      <c r="B7" s="53">
        <v>10</v>
      </c>
      <c r="I7" s="75"/>
      <c r="J7" s="76"/>
      <c r="K7" s="73"/>
      <c r="L7" s="74"/>
    </row>
    <row r="8" spans="1:19" x14ac:dyDescent="0.2">
      <c r="A8" s="1" t="s">
        <v>31</v>
      </c>
      <c r="B8" s="47">
        <v>12</v>
      </c>
      <c r="I8" s="77" t="s">
        <v>102</v>
      </c>
      <c r="J8" s="76"/>
      <c r="K8" s="73"/>
      <c r="L8" s="74"/>
    </row>
    <row r="9" spans="1:19" x14ac:dyDescent="0.2">
      <c r="A9" s="1" t="s">
        <v>32</v>
      </c>
      <c r="B9" s="47">
        <f>B10-G65</f>
        <v>9.9655105113212894</v>
      </c>
      <c r="D9" s="1" t="s">
        <v>110</v>
      </c>
      <c r="I9" s="77" t="s">
        <v>103</v>
      </c>
      <c r="J9" s="76"/>
      <c r="K9" s="73"/>
      <c r="L9" s="74"/>
    </row>
    <row r="10" spans="1:19" x14ac:dyDescent="0.2">
      <c r="A10" s="1" t="s">
        <v>30</v>
      </c>
      <c r="B10" s="53">
        <v>10</v>
      </c>
      <c r="D10" s="3" t="s">
        <v>85</v>
      </c>
      <c r="E10" s="46">
        <v>3.4999999999999999E-6</v>
      </c>
      <c r="F10" s="10" t="s">
        <v>0</v>
      </c>
      <c r="G10" s="44">
        <f>E10*B12</f>
        <v>3.4999999999999999E-6</v>
      </c>
      <c r="I10" s="77" t="s">
        <v>105</v>
      </c>
      <c r="J10" s="76"/>
      <c r="K10" s="73"/>
      <c r="L10" s="74"/>
    </row>
    <row r="11" spans="1:19" x14ac:dyDescent="0.2">
      <c r="A11" s="1" t="s">
        <v>91</v>
      </c>
      <c r="B11" s="47">
        <f>B10/(2^B8)</f>
        <v>2.44140625E-3</v>
      </c>
      <c r="D11" s="3" t="s">
        <v>46</v>
      </c>
      <c r="E11" s="46">
        <v>2.0000000000000001E-13</v>
      </c>
      <c r="F11" s="10" t="s">
        <v>12</v>
      </c>
      <c r="G11" s="44">
        <f>E11*B12</f>
        <v>2.0000000000000001E-13</v>
      </c>
      <c r="I11" s="77" t="s">
        <v>104</v>
      </c>
      <c r="J11" s="76"/>
      <c r="K11" s="73"/>
      <c r="L11" s="74"/>
      <c r="S11" s="5"/>
    </row>
    <row r="12" spans="1:19" x14ac:dyDescent="0.2">
      <c r="A12" s="1" t="s">
        <v>78</v>
      </c>
      <c r="B12" s="53">
        <v>1</v>
      </c>
      <c r="D12" s="3" t="s">
        <v>84</v>
      </c>
      <c r="E12" s="46">
        <v>1.4999999999999999E-7</v>
      </c>
      <c r="F12" s="10" t="s">
        <v>12</v>
      </c>
      <c r="I12" s="77" t="s">
        <v>107</v>
      </c>
      <c r="J12" s="76"/>
      <c r="K12" s="73"/>
      <c r="L12" s="74"/>
      <c r="S12" s="5"/>
    </row>
    <row r="13" spans="1:19" ht="13.5" thickBot="1" x14ac:dyDescent="0.25">
      <c r="A13" s="1" t="s">
        <v>60</v>
      </c>
      <c r="B13" s="47">
        <f>(25+B12)+273.15</f>
        <v>299.14999999999998</v>
      </c>
      <c r="D13" s="3" t="s">
        <v>96</v>
      </c>
      <c r="E13" s="46">
        <f>0.00075*5</f>
        <v>3.7499999999999999E-3</v>
      </c>
      <c r="F13" s="10" t="s">
        <v>0</v>
      </c>
      <c r="I13" s="78" t="s">
        <v>108</v>
      </c>
      <c r="J13" s="79"/>
      <c r="K13" s="80"/>
      <c r="L13" s="81"/>
      <c r="S13" s="5"/>
    </row>
    <row r="14" spans="1:19" x14ac:dyDescent="0.2">
      <c r="A14" s="1" t="s">
        <v>61</v>
      </c>
      <c r="B14" s="47">
        <v>1.3800000000000001E-23</v>
      </c>
      <c r="D14" s="3" t="s">
        <v>38</v>
      </c>
      <c r="E14" s="48">
        <v>1E-8</v>
      </c>
      <c r="F14" s="5" t="s">
        <v>12</v>
      </c>
      <c r="S14" s="5"/>
    </row>
    <row r="15" spans="1:19" x14ac:dyDescent="0.2">
      <c r="A15" s="1" t="s">
        <v>116</v>
      </c>
      <c r="B15" s="47">
        <v>0.05</v>
      </c>
      <c r="D15" s="18" t="s">
        <v>5</v>
      </c>
      <c r="E15" s="46">
        <v>-120</v>
      </c>
      <c r="F15" s="11" t="s">
        <v>0</v>
      </c>
      <c r="G15" s="48">
        <f>(10^(E15/20))*(((B15/100)*B18))</f>
        <v>3.4999999999999999E-9</v>
      </c>
      <c r="S15" s="5"/>
    </row>
    <row r="16" spans="1:19" x14ac:dyDescent="0.2">
      <c r="A16" s="1" t="s">
        <v>117</v>
      </c>
      <c r="B16" s="47">
        <v>5</v>
      </c>
      <c r="D16" s="18" t="s">
        <v>27</v>
      </c>
      <c r="E16" s="46">
        <v>2.0000000000000001E-4</v>
      </c>
      <c r="F16" s="11" t="s">
        <v>0</v>
      </c>
      <c r="G16" s="48"/>
    </row>
    <row r="17" spans="1:17" x14ac:dyDescent="0.2">
      <c r="A17" s="1" t="s">
        <v>118</v>
      </c>
      <c r="B17" s="47">
        <v>5</v>
      </c>
      <c r="D17" s="18" t="s">
        <v>25</v>
      </c>
      <c r="E17" s="46">
        <v>-80</v>
      </c>
      <c r="F17" s="11" t="s">
        <v>0</v>
      </c>
      <c r="G17" s="48">
        <f>(10^(E17/20))*B16</f>
        <v>5.0000000000000001E-4</v>
      </c>
      <c r="I17" s="15"/>
      <c r="J17" s="32"/>
    </row>
    <row r="18" spans="1:17" x14ac:dyDescent="0.2">
      <c r="A18" s="1" t="s">
        <v>28</v>
      </c>
      <c r="B18" s="47">
        <v>7</v>
      </c>
      <c r="D18" s="18" t="s">
        <v>73</v>
      </c>
      <c r="E18" s="46">
        <v>-80</v>
      </c>
      <c r="F18" s="11" t="s">
        <v>0</v>
      </c>
      <c r="G18" s="48">
        <f>(10^(E18/20))*B17</f>
        <v>5.0000000000000001E-4</v>
      </c>
      <c r="I18" s="13"/>
      <c r="J18" s="82"/>
    </row>
    <row r="19" spans="1:17" x14ac:dyDescent="0.2">
      <c r="A19" s="1" t="s">
        <v>59</v>
      </c>
      <c r="B19" s="47">
        <v>200000</v>
      </c>
      <c r="D19" s="34" t="s">
        <v>58</v>
      </c>
      <c r="E19" s="45">
        <v>6E-9</v>
      </c>
      <c r="F19" s="11" t="s">
        <v>0</v>
      </c>
      <c r="G19" s="48">
        <f>E19*SQRT(B20)</f>
        <v>3.3621421742692555E-6</v>
      </c>
      <c r="I19" s="13"/>
      <c r="J19" s="82"/>
      <c r="O19" s="20"/>
      <c r="P19" s="15"/>
    </row>
    <row r="20" spans="1:17" x14ac:dyDescent="0.2">
      <c r="A20" s="1" t="s">
        <v>62</v>
      </c>
      <c r="B20" s="47">
        <f>1.57*B19</f>
        <v>314000</v>
      </c>
      <c r="D20" s="34" t="s">
        <v>57</v>
      </c>
      <c r="E20" s="45">
        <v>8.0000000000000002E-13</v>
      </c>
      <c r="F20" s="11" t="s">
        <v>12</v>
      </c>
      <c r="G20" s="48">
        <f>E20*SQRT(B20)</f>
        <v>4.4828562323590077E-10</v>
      </c>
      <c r="I20" s="15"/>
      <c r="J20" s="32"/>
      <c r="O20" s="20"/>
      <c r="P20" s="15"/>
    </row>
    <row r="21" spans="1:17" x14ac:dyDescent="0.2">
      <c r="A21" s="1" t="s">
        <v>63</v>
      </c>
      <c r="B21" s="47">
        <f>1.222*B19</f>
        <v>244400</v>
      </c>
      <c r="D21" s="34" t="s">
        <v>64</v>
      </c>
      <c r="E21" s="45">
        <v>1.4999999999999999E-7</v>
      </c>
      <c r="F21" s="11" t="s">
        <v>0</v>
      </c>
      <c r="G21" s="48">
        <f>(E21/2)/SQRT(2)</f>
        <v>5.3033008588991055E-8</v>
      </c>
      <c r="O21" s="20"/>
      <c r="P21" s="15"/>
    </row>
    <row r="22" spans="1:17" x14ac:dyDescent="0.2">
      <c r="A22" s="1"/>
      <c r="B22" s="45"/>
      <c r="D22" s="34"/>
      <c r="E22" s="45"/>
      <c r="F22" s="11"/>
      <c r="G22" s="48"/>
      <c r="O22" s="20"/>
      <c r="P22" s="15"/>
    </row>
    <row r="23" spans="1:17" x14ac:dyDescent="0.2">
      <c r="A23" s="66" t="s">
        <v>115</v>
      </c>
      <c r="B23" s="67"/>
      <c r="C23" s="67"/>
      <c r="D23" s="67"/>
      <c r="E23" s="67"/>
      <c r="F23" s="67"/>
      <c r="G23" s="67"/>
      <c r="O23" s="20"/>
      <c r="P23" s="15"/>
    </row>
    <row r="24" spans="1:17" x14ac:dyDescent="0.2">
      <c r="A24" s="1"/>
      <c r="E24" s="47" t="s">
        <v>8</v>
      </c>
      <c r="G24" s="47" t="s">
        <v>9</v>
      </c>
      <c r="H24" s="12"/>
      <c r="O24" s="15"/>
      <c r="P24" s="21"/>
      <c r="Q24" s="22"/>
    </row>
    <row r="25" spans="1:17" x14ac:dyDescent="0.2">
      <c r="A25" s="31" t="s">
        <v>111</v>
      </c>
      <c r="D25" t="s">
        <v>66</v>
      </c>
      <c r="E25" s="59">
        <f>(B27-(($B$32/100)*B27)-(((B31*0.000001)*B12)*B27)-((B33/100)*B27))</f>
        <v>24812.227499999997</v>
      </c>
      <c r="F25" s="9" t="s">
        <v>13</v>
      </c>
      <c r="G25" s="59">
        <f>(B27+(($B$32/100)*B27)+(((B31*0.000001)*$B$12)*B27)+((B33/100)*B27))</f>
        <v>24987.772500000003</v>
      </c>
      <c r="H25" s="12"/>
      <c r="I25" s="25"/>
      <c r="O25" s="20"/>
      <c r="P25" s="20"/>
      <c r="Q25" s="22"/>
    </row>
    <row r="26" spans="1:17" x14ac:dyDescent="0.2">
      <c r="A26" s="1" t="s">
        <v>1</v>
      </c>
      <c r="B26" s="47">
        <f>B28/B27</f>
        <v>1</v>
      </c>
      <c r="D26" t="s">
        <v>67</v>
      </c>
      <c r="E26" s="59">
        <f>(B28-(($B$32/100)*B28)-(((B31*0.000001)*$B$12)*B28)-((B33/100)/B28))</f>
        <v>24874.477499899596</v>
      </c>
      <c r="F26" s="9" t="s">
        <v>13</v>
      </c>
      <c r="G26" s="59">
        <f>(B28+(($B$32/100)*B28)+(((B31*0.000001)*B12)*B28)+((B33/100)*B28))</f>
        <v>24987.772500000003</v>
      </c>
      <c r="H26" s="12"/>
      <c r="I26" s="25"/>
      <c r="O26" s="20"/>
      <c r="P26" s="20"/>
      <c r="Q26" s="22"/>
    </row>
    <row r="27" spans="1:17" x14ac:dyDescent="0.2">
      <c r="A27" s="1" t="s">
        <v>40</v>
      </c>
      <c r="B27" s="47">
        <v>24900</v>
      </c>
      <c r="D27" t="s">
        <v>68</v>
      </c>
      <c r="E27" s="59">
        <f>(E25*E26/(E25+E26))</f>
        <v>12421.656752493191</v>
      </c>
      <c r="F27" s="9" t="s">
        <v>13</v>
      </c>
      <c r="G27" s="59">
        <f>(G25*G26/(G25+G26))</f>
        <v>12493.886250000001</v>
      </c>
      <c r="H27" s="12"/>
      <c r="I27" s="25"/>
      <c r="O27" s="20"/>
      <c r="P27" s="20"/>
      <c r="Q27" s="22"/>
    </row>
    <row r="28" spans="1:17" x14ac:dyDescent="0.2">
      <c r="A28" s="1" t="s">
        <v>41</v>
      </c>
      <c r="B28" s="47">
        <v>24900</v>
      </c>
      <c r="D28" t="s">
        <v>69</v>
      </c>
      <c r="E28" s="59">
        <f>(B30-(($B$32/100)*B30)-(((B31*0.000001)*B12)*B30)-((B33/100)*B30))</f>
        <v>99.647500000000008</v>
      </c>
      <c r="F28" s="9" t="s">
        <v>13</v>
      </c>
      <c r="G28" s="59">
        <f>(B30+(($B$32/100)*B30)+(((B31*0.000001)*B12)*B30)+((B33/100)*B30))</f>
        <v>100.35249999999999</v>
      </c>
      <c r="I28" s="25"/>
      <c r="J28" s="6"/>
      <c r="O28" s="20"/>
      <c r="P28" s="20"/>
      <c r="Q28" s="22"/>
    </row>
    <row r="29" spans="1:17" x14ac:dyDescent="0.2">
      <c r="A29" s="1" t="s">
        <v>42</v>
      </c>
      <c r="B29" s="47">
        <f>B27*B28/(B27+B28)</f>
        <v>12450</v>
      </c>
      <c r="D29" t="s">
        <v>11</v>
      </c>
      <c r="E29" s="51">
        <f>E26/G25</f>
        <v>0.99546598240797946</v>
      </c>
      <c r="F29" s="20" t="s">
        <v>23</v>
      </c>
      <c r="G29" s="51">
        <f>G26/E25</f>
        <v>1.0070749391605411</v>
      </c>
      <c r="H29" s="14"/>
      <c r="O29" s="20"/>
      <c r="P29" s="20"/>
      <c r="Q29" s="22"/>
    </row>
    <row r="30" spans="1:17" x14ac:dyDescent="0.2">
      <c r="A30" s="1" t="s">
        <v>43</v>
      </c>
      <c r="B30" s="47">
        <v>100</v>
      </c>
      <c r="D30" s="26" t="s">
        <v>26</v>
      </c>
      <c r="E30" s="60">
        <f>E29*B7</f>
        <v>9.9546598240797941</v>
      </c>
      <c r="F30" s="9" t="s">
        <v>0</v>
      </c>
      <c r="G30" s="60">
        <f>G29*B7</f>
        <v>10.07074939160541</v>
      </c>
      <c r="H30" s="14"/>
      <c r="I30" s="25"/>
      <c r="N30" s="15"/>
      <c r="O30" s="20"/>
      <c r="P30" s="20"/>
      <c r="Q30" s="22"/>
    </row>
    <row r="31" spans="1:17" x14ac:dyDescent="0.2">
      <c r="A31" s="1" t="s">
        <v>6</v>
      </c>
      <c r="B31" s="47">
        <v>25</v>
      </c>
      <c r="D31" t="s">
        <v>47</v>
      </c>
      <c r="E31" s="59">
        <f>(E14+G11)*(((E26*G25)/(E26+G25))-E27)*(E29+1)</f>
        <v>8.7485754831161107E-7</v>
      </c>
      <c r="F31" s="9" t="s">
        <v>0</v>
      </c>
      <c r="G31" s="59">
        <f>(E14+G11)*(G27-((G26*E25)/(G26+E25)))*(G29+1)</f>
        <v>8.8395252967175026E-7</v>
      </c>
      <c r="H31" s="14"/>
      <c r="N31" s="21"/>
      <c r="O31" s="20"/>
      <c r="P31" s="20"/>
      <c r="Q31" s="22"/>
    </row>
    <row r="32" spans="1:17" x14ac:dyDescent="0.2">
      <c r="A32" s="1" t="s">
        <v>7</v>
      </c>
      <c r="B32" s="47">
        <v>0.1</v>
      </c>
      <c r="D32" t="s">
        <v>48</v>
      </c>
      <c r="E32" s="59">
        <f>(E16+G10)*(E29+1)</f>
        <v>4.0607732742002384E-4</v>
      </c>
      <c r="F32" s="9" t="s">
        <v>0</v>
      </c>
      <c r="G32" s="59">
        <f>(E16+G10)*(G29+1)</f>
        <v>4.0843975011917014E-4</v>
      </c>
      <c r="H32" s="14"/>
      <c r="I32" s="35"/>
      <c r="J32" s="32"/>
      <c r="K32" s="20"/>
      <c r="L32" s="32"/>
      <c r="N32" s="20"/>
      <c r="O32" s="20"/>
      <c r="P32" s="20"/>
      <c r="Q32" s="22"/>
    </row>
    <row r="33" spans="1:17" x14ac:dyDescent="0.2">
      <c r="A33" s="1" t="s">
        <v>74</v>
      </c>
      <c r="B33" s="47">
        <v>0.25</v>
      </c>
      <c r="D33" s="22" t="s">
        <v>49</v>
      </c>
      <c r="E33" s="59">
        <f>(E27-G27)*E12*(E29+1)</f>
        <v>-2.1619725780189414E-5</v>
      </c>
      <c r="F33" s="9" t="s">
        <v>0</v>
      </c>
      <c r="G33" s="59">
        <f>(G27-E27)*E12*(G29+1)</f>
        <v>2.174550214711179E-5</v>
      </c>
      <c r="H33" s="14"/>
      <c r="I33" s="35"/>
      <c r="J33" s="32"/>
      <c r="K33" s="20"/>
      <c r="L33" s="32"/>
      <c r="N33" s="20"/>
      <c r="O33" s="20"/>
      <c r="P33" s="20"/>
      <c r="Q33" s="22"/>
    </row>
    <row r="34" spans="1:17" x14ac:dyDescent="0.2">
      <c r="A34" s="1"/>
      <c r="D34" s="26" t="s">
        <v>86</v>
      </c>
      <c r="E34" s="61">
        <f>E32+E31+(G17*(E29+1))+E33+(G15*(E29+1))</f>
        <v>1.3830724345230744E-3</v>
      </c>
      <c r="F34" s="9" t="s">
        <v>0</v>
      </c>
      <c r="G34" s="61">
        <f>G32+G31+(G17*(G29+1))+G33+(G15*(G29+1))</f>
        <v>1.4346136991385114E-3</v>
      </c>
      <c r="H34" s="21"/>
      <c r="I34" s="35"/>
      <c r="J34" s="32"/>
      <c r="K34" s="20"/>
      <c r="L34" s="32"/>
      <c r="N34" s="20"/>
      <c r="O34" s="20"/>
      <c r="P34" s="20"/>
      <c r="Q34" s="22"/>
    </row>
    <row r="35" spans="1:17" x14ac:dyDescent="0.2">
      <c r="A35" s="1"/>
      <c r="D35" s="26" t="s">
        <v>87</v>
      </c>
      <c r="E35" s="61">
        <f>SQRT(E32^2+E31^2+(G17*(E29+1))^2+E33^2+(G15*(E29+1))^2)</f>
        <v>1.0774219672666642E-3</v>
      </c>
      <c r="F35" s="9" t="s">
        <v>0</v>
      </c>
      <c r="G35" s="61">
        <f>SQRT(G32^2+G31^2+(G17*(G29+1))^2+G33^2+(G15*(G29+1))^2)</f>
        <v>1.0836900528352351E-3</v>
      </c>
      <c r="H35" s="21"/>
      <c r="I35" s="35"/>
      <c r="J35" s="32"/>
      <c r="K35" s="20"/>
      <c r="L35" s="32"/>
      <c r="N35" s="20"/>
      <c r="O35" s="20"/>
      <c r="P35" s="20"/>
      <c r="Q35" s="22"/>
    </row>
    <row r="36" spans="1:17" x14ac:dyDescent="0.2">
      <c r="A36" s="1"/>
      <c r="D36" s="26" t="s">
        <v>88</v>
      </c>
      <c r="E36" s="60">
        <f>E34+E30</f>
        <v>9.9560428965143171</v>
      </c>
      <c r="F36" s="9" t="s">
        <v>0</v>
      </c>
      <c r="G36" s="60">
        <f>G30+G34</f>
        <v>10.07218400530455</v>
      </c>
      <c r="H36" s="20"/>
      <c r="I36" s="35"/>
      <c r="J36" s="32"/>
      <c r="K36" s="20"/>
      <c r="L36" s="32"/>
      <c r="N36" s="20"/>
      <c r="O36" s="20"/>
      <c r="P36" s="20"/>
      <c r="Q36" s="22"/>
    </row>
    <row r="37" spans="1:17" x14ac:dyDescent="0.2">
      <c r="A37" s="31" t="s">
        <v>112</v>
      </c>
      <c r="D37" s="26" t="s">
        <v>83</v>
      </c>
      <c r="E37" s="60">
        <f>(E30+E35)</f>
        <v>9.955737246047061</v>
      </c>
      <c r="F37" s="5" t="s">
        <v>0</v>
      </c>
      <c r="G37" s="60">
        <f>(G30+G35)</f>
        <v>10.071833081658246</v>
      </c>
      <c r="H37" s="20"/>
      <c r="I37" s="25"/>
      <c r="O37" s="15"/>
      <c r="P37" s="14"/>
      <c r="Q37" s="22"/>
    </row>
    <row r="38" spans="1:17" x14ac:dyDescent="0.2">
      <c r="A38" s="1" t="s">
        <v>10</v>
      </c>
      <c r="B38" s="47">
        <v>400</v>
      </c>
      <c r="D38" t="s">
        <v>72</v>
      </c>
      <c r="E38" s="59">
        <f>(B38-((B40/100)*B38)-((((B39/10000)*$B$12)/100)*B38))</f>
        <v>319.92</v>
      </c>
      <c r="F38" s="5" t="s">
        <v>13</v>
      </c>
      <c r="G38" s="59">
        <f>(B38+((B40/100)*B38)+((((B39/10000)*$B$12)/100)*B38))</f>
        <v>480.08</v>
      </c>
      <c r="H38" s="20"/>
      <c r="I38" s="35"/>
      <c r="J38" s="32"/>
      <c r="K38" s="20"/>
      <c r="L38" s="32"/>
      <c r="N38" s="20"/>
      <c r="O38" s="15"/>
      <c r="P38" s="20"/>
      <c r="Q38" s="22"/>
    </row>
    <row r="39" spans="1:17" x14ac:dyDescent="0.2">
      <c r="A39" s="1" t="s">
        <v>6</v>
      </c>
      <c r="B39" s="47">
        <v>200</v>
      </c>
      <c r="D39" s="26" t="s">
        <v>75</v>
      </c>
      <c r="E39" s="61">
        <f>10^(B41/20)*B17</f>
        <v>1.581138830084189E-3</v>
      </c>
      <c r="F39" s="5" t="s">
        <v>0</v>
      </c>
      <c r="G39" s="61">
        <f>10^(B41/20)*B17</f>
        <v>1.581138830084189E-3</v>
      </c>
      <c r="H39" s="20"/>
      <c r="I39" s="35"/>
      <c r="J39" s="32"/>
      <c r="K39" s="20"/>
      <c r="L39" s="32"/>
      <c r="N39" s="20"/>
      <c r="O39" s="15"/>
      <c r="P39" s="20"/>
      <c r="Q39" s="22"/>
    </row>
    <row r="40" spans="1:17" x14ac:dyDescent="0.2">
      <c r="A40" s="1" t="s">
        <v>7</v>
      </c>
      <c r="B40" s="47">
        <v>20</v>
      </c>
      <c r="E40" s="59"/>
      <c r="G40" s="59"/>
      <c r="H40" s="20"/>
      <c r="I40" s="35"/>
      <c r="J40" s="32"/>
      <c r="K40" s="20"/>
      <c r="L40" s="32"/>
      <c r="N40" s="20"/>
      <c r="O40" s="15"/>
      <c r="P40" s="20"/>
      <c r="Q40" s="22"/>
    </row>
    <row r="41" spans="1:17" x14ac:dyDescent="0.2">
      <c r="A41" s="1" t="s">
        <v>76</v>
      </c>
      <c r="B41" s="47">
        <v>-70</v>
      </c>
      <c r="E41" s="59"/>
      <c r="G41" s="59"/>
      <c r="H41" s="20"/>
      <c r="I41" s="33"/>
      <c r="J41" s="32"/>
      <c r="K41" s="13"/>
      <c r="L41" s="32"/>
      <c r="N41" s="20"/>
      <c r="O41" s="15"/>
      <c r="P41" s="20"/>
      <c r="Q41" s="22"/>
    </row>
    <row r="42" spans="1:17" x14ac:dyDescent="0.2">
      <c r="A42" s="1"/>
      <c r="E42" s="59"/>
      <c r="G42" s="59"/>
      <c r="H42" s="20"/>
      <c r="I42" s="33"/>
      <c r="J42" s="32"/>
      <c r="K42" s="13"/>
      <c r="L42" s="32"/>
      <c r="N42" s="20"/>
      <c r="O42" s="15"/>
      <c r="P42" s="20"/>
      <c r="Q42" s="22"/>
    </row>
    <row r="43" spans="1:17" x14ac:dyDescent="0.2">
      <c r="A43" s="31" t="s">
        <v>113</v>
      </c>
      <c r="E43" s="59"/>
      <c r="G43" s="59"/>
      <c r="H43" s="20"/>
      <c r="I43" s="35"/>
      <c r="J43" s="32"/>
      <c r="K43" s="20"/>
      <c r="L43" s="32"/>
      <c r="N43" s="20"/>
      <c r="O43" s="15"/>
      <c r="P43" s="20"/>
      <c r="Q43" s="22"/>
    </row>
    <row r="44" spans="1:17" x14ac:dyDescent="0.2">
      <c r="A44" s="1" t="s">
        <v>6</v>
      </c>
      <c r="B44" s="47">
        <v>25</v>
      </c>
      <c r="D44" t="s">
        <v>70</v>
      </c>
      <c r="E44" s="51">
        <f>(B48-((B45/100)*B48)-(((B44*0.000001)*B12)*B48)-((B46/100)/B48))</f>
        <v>55942.599999955353</v>
      </c>
      <c r="F44" s="51" t="s">
        <v>13</v>
      </c>
      <c r="G44" s="51">
        <f>(B48+((B45/100)*B48)+(((B44*0.000001)*B12)*B48)+((B46/100)/B48))</f>
        <v>56057.400000044647</v>
      </c>
      <c r="H44" s="20"/>
      <c r="I44" s="43"/>
      <c r="J44" s="32"/>
      <c r="K44" s="15"/>
      <c r="L44" s="32"/>
      <c r="N44" s="20"/>
      <c r="O44" s="15"/>
      <c r="P44" s="20"/>
      <c r="Q44" s="22"/>
    </row>
    <row r="45" spans="1:17" x14ac:dyDescent="0.2">
      <c r="A45" s="1" t="s">
        <v>7</v>
      </c>
      <c r="B45" s="47">
        <v>0.1</v>
      </c>
      <c r="D45" t="s">
        <v>71</v>
      </c>
      <c r="E45" s="51">
        <f>(B49-((B45/100)*B49)-(((B44*0.000001)*B12)*B49)-((B46/100)/B49))</f>
        <v>56142.394999955519</v>
      </c>
      <c r="F45" s="51" t="s">
        <v>13</v>
      </c>
      <c r="G45" s="51">
        <f>(B49+((B45/100)*B49)+(((B44*0.000001)*B12)*B49)+((B46/100)/B49))</f>
        <v>56257.605000044481</v>
      </c>
      <c r="H45" s="20"/>
      <c r="I45" s="35"/>
      <c r="J45" s="32"/>
      <c r="K45" s="20"/>
      <c r="L45" s="32"/>
      <c r="N45" s="20"/>
      <c r="O45" s="15"/>
      <c r="P45" s="20"/>
      <c r="Q45" s="22"/>
    </row>
    <row r="46" spans="1:17" x14ac:dyDescent="0.2">
      <c r="A46" s="1" t="s">
        <v>74</v>
      </c>
      <c r="B46" s="47">
        <v>0.25</v>
      </c>
      <c r="D46" t="s">
        <v>33</v>
      </c>
      <c r="E46" s="51">
        <f>E45/G44</f>
        <v>1.0015162137364702</v>
      </c>
      <c r="F46" s="51" t="s">
        <v>23</v>
      </c>
      <c r="G46" s="51">
        <f>G45/E44</f>
        <v>1.0056308609197531</v>
      </c>
      <c r="H46" s="20"/>
      <c r="I46" s="35"/>
      <c r="J46" s="32"/>
      <c r="K46" s="20"/>
      <c r="L46" s="32"/>
      <c r="N46" s="20"/>
      <c r="O46" s="15"/>
      <c r="P46" s="20"/>
      <c r="Q46" s="22"/>
    </row>
    <row r="47" spans="1:17" x14ac:dyDescent="0.2">
      <c r="A47" s="1" t="s">
        <v>39</v>
      </c>
      <c r="B47" s="47">
        <f>B49/B48</f>
        <v>1.0035714285714286</v>
      </c>
      <c r="D47" s="26" t="s">
        <v>88</v>
      </c>
      <c r="E47" s="60">
        <f>(E36+E39)*E46</f>
        <v>9.9727219216893968</v>
      </c>
      <c r="F47" s="5" t="s">
        <v>0</v>
      </c>
      <c r="G47" s="60">
        <f>(G36+G39)*G46</f>
        <v>10.130489114599513</v>
      </c>
      <c r="H47" s="20"/>
      <c r="I47" s="25"/>
      <c r="J47" s="6"/>
      <c r="N47" s="20"/>
      <c r="O47" s="15"/>
      <c r="P47" s="20"/>
      <c r="Q47" s="22"/>
    </row>
    <row r="48" spans="1:17" x14ac:dyDescent="0.2">
      <c r="A48" s="1" t="s">
        <v>44</v>
      </c>
      <c r="B48" s="47">
        <v>56000</v>
      </c>
      <c r="D48" s="26" t="s">
        <v>83</v>
      </c>
      <c r="E48" s="60">
        <f>(E37+E39)*E46</f>
        <v>9.9724158077907035</v>
      </c>
      <c r="F48" s="5" t="s">
        <v>0</v>
      </c>
      <c r="G48" s="60">
        <f>(G37+G39)*G46</f>
        <v>10.130136214950964</v>
      </c>
      <c r="H48" s="20"/>
      <c r="I48" s="25"/>
      <c r="J48" s="6"/>
      <c r="N48" s="20"/>
      <c r="O48" s="15"/>
      <c r="P48" s="20"/>
      <c r="Q48" s="22"/>
    </row>
    <row r="49" spans="1:17" x14ac:dyDescent="0.2">
      <c r="A49" s="1" t="s">
        <v>45</v>
      </c>
      <c r="B49" s="47">
        <v>56200</v>
      </c>
      <c r="D49" t="s">
        <v>50</v>
      </c>
      <c r="E49" s="51">
        <f>((E45*G44)/(E45+G44))*(E14+G11)</f>
        <v>2.8050493652032765E-4</v>
      </c>
      <c r="F49" s="15" t="s">
        <v>0</v>
      </c>
      <c r="G49" s="51">
        <f>((G45*E44)/(G45+E44))*(E14+G11)</f>
        <v>2.8050391150415902E-4</v>
      </c>
      <c r="H49" s="20"/>
      <c r="I49" s="25"/>
      <c r="O49" s="15"/>
      <c r="P49" s="20"/>
      <c r="Q49" s="22"/>
    </row>
    <row r="50" spans="1:17" x14ac:dyDescent="0.2">
      <c r="A50" s="1" t="s">
        <v>79</v>
      </c>
      <c r="B50" s="47">
        <v>33.200000000000003</v>
      </c>
      <c r="D50" t="s">
        <v>48</v>
      </c>
      <c r="E50" s="59">
        <f>(G10+E16+E13)*E46</f>
        <v>3.959494351007134E-3</v>
      </c>
      <c r="F50" s="5" t="s">
        <v>0</v>
      </c>
      <c r="G50" s="59">
        <f>(G10+E16+E13)*G46</f>
        <v>3.9757616086462432E-3</v>
      </c>
      <c r="H50" s="20"/>
      <c r="I50" s="36"/>
      <c r="J50" s="39"/>
      <c r="K50" s="24"/>
      <c r="L50" s="39"/>
      <c r="O50" s="15"/>
      <c r="P50" s="20"/>
      <c r="Q50" s="22"/>
    </row>
    <row r="51" spans="1:17" x14ac:dyDescent="0.2">
      <c r="A51" s="1"/>
      <c r="D51" s="22" t="s">
        <v>49</v>
      </c>
      <c r="E51" s="59">
        <f>((E44+E38+E28)-G45)*E12</f>
        <v>1.5684374986630429E-5</v>
      </c>
      <c r="F51" s="5" t="s">
        <v>0</v>
      </c>
      <c r="G51" s="59">
        <f>((G44+G38+G28)-E45)*E12</f>
        <v>7.4315625013369574E-5</v>
      </c>
      <c r="H51" s="14"/>
      <c r="I51" s="25"/>
      <c r="O51" s="15"/>
      <c r="P51" s="20"/>
      <c r="Q51" s="22"/>
    </row>
    <row r="52" spans="1:17" x14ac:dyDescent="0.2">
      <c r="A52" s="1"/>
      <c r="D52" s="26" t="s">
        <v>89</v>
      </c>
      <c r="E52" s="61">
        <f>E50+E49+E51+(G18*E46)+(G15*E46)</f>
        <v>4.7564452746890751E-3</v>
      </c>
      <c r="F52" s="5" t="s">
        <v>0</v>
      </c>
      <c r="G52" s="61">
        <f>G50+G49+G51+(G18*G46)+(G15*G46)</f>
        <v>4.8334000953316608E-3</v>
      </c>
      <c r="H52" s="14"/>
      <c r="I52" s="37"/>
      <c r="J52" s="39"/>
      <c r="K52" s="27"/>
      <c r="L52" s="39"/>
      <c r="M52" s="35"/>
      <c r="O52" s="15"/>
      <c r="P52" s="20"/>
      <c r="Q52" s="22"/>
    </row>
    <row r="53" spans="1:17" x14ac:dyDescent="0.2">
      <c r="D53" s="26" t="s">
        <v>90</v>
      </c>
      <c r="E53" s="61">
        <f>SQRT(E50^2+E49^2+E51^2+(G18*E46)^2+(G15*E46)^2)</f>
        <v>4.0009102984564582E-3</v>
      </c>
      <c r="F53" s="5" t="s">
        <v>0</v>
      </c>
      <c r="G53" s="61">
        <f>SQRT(G50^2+G49^2+G51^2+(G18*G46)^2+(G15*G46)^2)</f>
        <v>4.0179234664682898E-3</v>
      </c>
      <c r="H53" s="20"/>
      <c r="I53" s="37"/>
      <c r="J53" s="39"/>
      <c r="K53" s="27"/>
      <c r="L53" s="39"/>
      <c r="M53" s="35"/>
      <c r="O53" s="15"/>
      <c r="P53" s="20"/>
      <c r="Q53" s="22"/>
    </row>
    <row r="54" spans="1:17" x14ac:dyDescent="0.2">
      <c r="D54" s="26" t="s">
        <v>88</v>
      </c>
      <c r="E54" s="60">
        <f>E47+E52</f>
        <v>9.9774783669640854</v>
      </c>
      <c r="F54" s="5" t="s">
        <v>0</v>
      </c>
      <c r="G54" s="60">
        <f>G47+G52</f>
        <v>10.135322514694845</v>
      </c>
      <c r="H54" s="20"/>
      <c r="I54" s="25"/>
      <c r="J54" s="6"/>
      <c r="O54" s="15"/>
      <c r="P54" s="20"/>
      <c r="Q54" s="22"/>
    </row>
    <row r="55" spans="1:17" x14ac:dyDescent="0.2">
      <c r="A55" s="1"/>
      <c r="D55" s="26" t="s">
        <v>83</v>
      </c>
      <c r="E55" s="60">
        <f>(E48+E53)</f>
        <v>9.9764167180891601</v>
      </c>
      <c r="F55" s="15" t="s">
        <v>0</v>
      </c>
      <c r="G55" s="60">
        <f>(G48+G53)</f>
        <v>10.134154138417433</v>
      </c>
      <c r="H55" s="20"/>
      <c r="I55" s="25"/>
      <c r="J55" s="6"/>
      <c r="O55" s="15"/>
      <c r="P55" s="20"/>
      <c r="Q55" s="22"/>
    </row>
    <row r="56" spans="1:17" x14ac:dyDescent="0.2">
      <c r="A56" s="31" t="s">
        <v>114</v>
      </c>
      <c r="E56" s="59"/>
      <c r="G56" s="59"/>
      <c r="H56" s="20"/>
      <c r="N56" s="20"/>
      <c r="O56" s="15"/>
      <c r="P56" s="20"/>
      <c r="Q56" s="22"/>
    </row>
    <row r="57" spans="1:17" x14ac:dyDescent="0.2">
      <c r="A57" s="1" t="s">
        <v>97</v>
      </c>
      <c r="B57" s="47">
        <v>1.5</v>
      </c>
      <c r="D57" s="15" t="s">
        <v>14</v>
      </c>
      <c r="E57" s="51"/>
      <c r="F57" s="5" t="s">
        <v>0</v>
      </c>
      <c r="G57" s="51">
        <f>B11*B57</f>
        <v>3.662109375E-3</v>
      </c>
      <c r="H57" s="20"/>
      <c r="I57" s="3"/>
      <c r="J57" s="28"/>
      <c r="N57" s="14"/>
      <c r="O57" s="15"/>
    </row>
    <row r="58" spans="1:17" x14ac:dyDescent="0.2">
      <c r="A58" s="1" t="s">
        <v>51</v>
      </c>
      <c r="B58" s="47">
        <v>10</v>
      </c>
      <c r="D58" s="15" t="s">
        <v>14</v>
      </c>
      <c r="E58" s="51"/>
      <c r="F58" s="5" t="s">
        <v>0</v>
      </c>
      <c r="G58" s="51">
        <f>B58*B11</f>
        <v>2.44140625E-2</v>
      </c>
      <c r="H58" s="20"/>
      <c r="I58" s="3"/>
      <c r="J58" s="16"/>
      <c r="K58" s="27"/>
      <c r="L58" s="39"/>
      <c r="N58" s="14"/>
      <c r="O58" s="15"/>
    </row>
    <row r="59" spans="1:17" x14ac:dyDescent="0.2">
      <c r="A59" s="1" t="s">
        <v>98</v>
      </c>
      <c r="B59" s="47">
        <v>0.1</v>
      </c>
      <c r="D59" s="15" t="s">
        <v>14</v>
      </c>
      <c r="E59" s="51"/>
      <c r="F59" s="5" t="s">
        <v>0</v>
      </c>
      <c r="G59" s="51">
        <f>(B59/((B11/B10)*100))*B11</f>
        <v>0.01</v>
      </c>
      <c r="H59" s="20"/>
      <c r="I59" s="3"/>
      <c r="J59" s="16"/>
      <c r="K59" s="27"/>
      <c r="L59" s="39"/>
      <c r="N59" s="20"/>
      <c r="O59" s="15"/>
    </row>
    <row r="60" spans="1:17" x14ac:dyDescent="0.2">
      <c r="A60" s="1" t="s">
        <v>99</v>
      </c>
      <c r="B60" s="47">
        <v>30</v>
      </c>
      <c r="D60" s="15" t="s">
        <v>14</v>
      </c>
      <c r="E60" s="51"/>
      <c r="F60" s="5" t="s">
        <v>0</v>
      </c>
      <c r="G60" s="51">
        <f>(((B11/((B11*1000000)/B10))*B60)*B12)</f>
        <v>3.0000000000000003E-4</v>
      </c>
      <c r="H60" s="20"/>
      <c r="I60" s="3"/>
      <c r="J60" s="16"/>
      <c r="O60" s="15"/>
    </row>
    <row r="61" spans="1:17" x14ac:dyDescent="0.2">
      <c r="A61" s="1" t="s">
        <v>100</v>
      </c>
      <c r="B61" s="47">
        <v>40</v>
      </c>
      <c r="D61" s="15" t="s">
        <v>14</v>
      </c>
      <c r="E61" s="51"/>
      <c r="F61" s="5" t="s">
        <v>0</v>
      </c>
      <c r="G61" s="51">
        <f>(((B11/((B11*1000000)/B10))*B61)*B12)</f>
        <v>4.0000000000000002E-4</v>
      </c>
      <c r="H61" s="20"/>
      <c r="I61" s="3"/>
      <c r="J61" s="16"/>
      <c r="N61" s="20"/>
      <c r="O61" s="15"/>
    </row>
    <row r="62" spans="1:17" x14ac:dyDescent="0.2">
      <c r="A62" s="1" t="s">
        <v>101</v>
      </c>
      <c r="B62" s="47">
        <v>-60</v>
      </c>
      <c r="D62" s="15" t="s">
        <v>14</v>
      </c>
      <c r="E62" s="51"/>
      <c r="F62" s="5" t="s">
        <v>0</v>
      </c>
      <c r="G62" s="51">
        <f>((10^(B62/20))*(((B15/100)*B18)))</f>
        <v>3.4999999999999999E-6</v>
      </c>
      <c r="H62" s="20"/>
      <c r="I62" s="3"/>
      <c r="J62" s="16"/>
      <c r="N62" s="20"/>
      <c r="O62" s="15"/>
    </row>
    <row r="63" spans="1:17" x14ac:dyDescent="0.2">
      <c r="D63" s="2"/>
      <c r="E63" s="59"/>
      <c r="G63" s="59"/>
      <c r="H63" s="20"/>
      <c r="I63" s="3"/>
      <c r="J63" s="16"/>
      <c r="N63" s="20"/>
      <c r="O63" s="15"/>
    </row>
    <row r="64" spans="1:17" x14ac:dyDescent="0.2">
      <c r="A64" s="1" t="s">
        <v>36</v>
      </c>
      <c r="B64" s="50">
        <v>400000</v>
      </c>
      <c r="D64" s="26" t="s">
        <v>15</v>
      </c>
      <c r="E64" s="59"/>
      <c r="F64" s="5" t="s">
        <v>0</v>
      </c>
      <c r="G64" s="61">
        <f>SQRT(G57^2+G58^2+G59^2+G60^2+G61^2+G62^2)</f>
        <v>2.6640336054156097E-2</v>
      </c>
      <c r="H64" s="20"/>
      <c r="I64" s="3"/>
      <c r="J64" s="16"/>
      <c r="K64" s="24"/>
      <c r="L64" s="39"/>
      <c r="N64" s="20"/>
      <c r="O64" s="15"/>
    </row>
    <row r="65" spans="1:17" x14ac:dyDescent="0.2">
      <c r="A65" s="1" t="s">
        <v>3</v>
      </c>
      <c r="B65" s="50">
        <f>6.02*B8+1.76</f>
        <v>74</v>
      </c>
      <c r="D65" s="26" t="s">
        <v>80</v>
      </c>
      <c r="E65" s="61">
        <f>G64+E52+E39+E34</f>
        <v>3.436099259345244E-2</v>
      </c>
      <c r="F65" s="12" t="s">
        <v>0</v>
      </c>
      <c r="G65" s="61">
        <f>G64+G52+G39+G34</f>
        <v>3.4489488678710462E-2</v>
      </c>
      <c r="H65" s="20"/>
      <c r="I65" s="3"/>
      <c r="J65" s="16"/>
      <c r="K65" s="24"/>
      <c r="L65" s="39"/>
      <c r="N65" s="20"/>
      <c r="O65" s="14"/>
    </row>
    <row r="66" spans="1:17" x14ac:dyDescent="0.2">
      <c r="A66" s="1" t="s">
        <v>52</v>
      </c>
      <c r="B66" s="50">
        <v>65</v>
      </c>
      <c r="D66" s="26" t="s">
        <v>81</v>
      </c>
      <c r="E66" s="61">
        <f>SQRT(G64^2+E53^2+E39^2+E35^2)</f>
        <v>2.7006955148446723E-2</v>
      </c>
      <c r="F66" s="12" t="s">
        <v>0</v>
      </c>
      <c r="G66" s="61">
        <f>SQRT(G64^2+G53^2+G39^2+G35^2)</f>
        <v>2.7009731546081311E-2</v>
      </c>
      <c r="H66" s="20"/>
      <c r="I66" s="3"/>
      <c r="J66" s="16"/>
      <c r="K66" s="24"/>
      <c r="L66" s="39"/>
      <c r="N66" s="20"/>
      <c r="O66" s="14"/>
    </row>
    <row r="67" spans="1:17" x14ac:dyDescent="0.2">
      <c r="A67" s="1" t="s">
        <v>37</v>
      </c>
      <c r="B67" s="50">
        <f>(B66-1.76)/6.02</f>
        <v>10.50498338870432</v>
      </c>
      <c r="D67" s="26" t="s">
        <v>82</v>
      </c>
      <c r="E67" s="62">
        <f>E54+G64</f>
        <v>10.004118703018241</v>
      </c>
      <c r="F67" s="28" t="s">
        <v>0</v>
      </c>
      <c r="G67" s="62">
        <f>G64+G54</f>
        <v>10.161962850749001</v>
      </c>
      <c r="H67" s="20"/>
      <c r="I67" s="27"/>
      <c r="J67" s="29"/>
      <c r="L67" s="39"/>
      <c r="N67" s="20"/>
      <c r="O67" s="15"/>
      <c r="P67" s="20"/>
      <c r="Q67" s="22"/>
    </row>
    <row r="68" spans="1:17" x14ac:dyDescent="0.2">
      <c r="D68" s="26" t="s">
        <v>83</v>
      </c>
      <c r="E68" s="60">
        <f>(E55+G64)</f>
        <v>10.003057054143316</v>
      </c>
      <c r="F68" s="5" t="s">
        <v>0</v>
      </c>
      <c r="G68" s="60">
        <f>(G55+G64)</f>
        <v>10.160794474471588</v>
      </c>
      <c r="H68" s="20"/>
      <c r="I68" s="20"/>
      <c r="J68" s="32"/>
      <c r="K68" s="20"/>
      <c r="L68" s="32"/>
      <c r="N68" s="11"/>
      <c r="O68" s="15"/>
      <c r="P68" s="20"/>
      <c r="Q68" s="22"/>
    </row>
    <row r="69" spans="1:17" x14ac:dyDescent="0.2">
      <c r="A69" s="33"/>
      <c r="B69" s="50"/>
      <c r="D69" s="58" t="s">
        <v>109</v>
      </c>
      <c r="E69" s="65">
        <f>((ABS((E68-B10)-(G68-B10)))/B10)*100</f>
        <v>1.5773742032827265</v>
      </c>
      <c r="F69" s="19" t="s">
        <v>35</v>
      </c>
      <c r="G69" s="64"/>
      <c r="H69" s="20"/>
      <c r="I69" s="20"/>
      <c r="J69" s="40"/>
      <c r="K69" s="32"/>
      <c r="L69" s="32"/>
      <c r="N69" s="14"/>
      <c r="O69" s="19"/>
      <c r="P69" s="20"/>
      <c r="Q69" s="22"/>
    </row>
    <row r="70" spans="1:17" x14ac:dyDescent="0.2">
      <c r="A70" s="33"/>
      <c r="B70" s="50"/>
      <c r="D70" s="58"/>
      <c r="E70" s="63"/>
      <c r="F70" s="24"/>
      <c r="G70" s="48"/>
      <c r="H70" s="20"/>
      <c r="I70" s="20"/>
      <c r="J70" s="23"/>
      <c r="K70" s="32"/>
      <c r="L70" s="32"/>
      <c r="N70" s="14"/>
      <c r="O70" s="24"/>
      <c r="P70" s="20"/>
      <c r="Q70" s="22"/>
    </row>
    <row r="71" spans="1:17" x14ac:dyDescent="0.2">
      <c r="A71" s="33"/>
      <c r="B71" s="50"/>
      <c r="D71" s="58"/>
      <c r="E71" s="63"/>
      <c r="F71" s="24"/>
      <c r="G71" s="48"/>
      <c r="H71" s="20"/>
      <c r="I71" s="20"/>
      <c r="J71" s="23"/>
      <c r="K71" s="32"/>
      <c r="L71" s="32"/>
      <c r="N71" s="14"/>
      <c r="O71" s="24"/>
      <c r="P71" s="20"/>
      <c r="Q71" s="22"/>
    </row>
    <row r="72" spans="1:17" x14ac:dyDescent="0.2">
      <c r="A72" s="33"/>
      <c r="B72" s="50"/>
      <c r="D72" s="58"/>
      <c r="E72" s="50"/>
      <c r="F72" s="15"/>
      <c r="G72" s="48"/>
      <c r="H72" s="20"/>
      <c r="I72" s="27"/>
      <c r="J72" s="40"/>
      <c r="K72" s="32"/>
      <c r="L72" s="32"/>
      <c r="N72" s="14"/>
      <c r="O72" s="15"/>
      <c r="P72" s="20"/>
      <c r="Q72" s="22"/>
    </row>
    <row r="73" spans="1:17" x14ac:dyDescent="0.2">
      <c r="A73" s="33"/>
      <c r="B73" s="50"/>
      <c r="D73" s="58"/>
      <c r="E73" s="50"/>
      <c r="F73" s="15"/>
      <c r="G73" s="48"/>
      <c r="H73" s="20"/>
      <c r="I73" s="27"/>
      <c r="J73" s="40"/>
      <c r="K73" s="32"/>
      <c r="L73" s="32"/>
      <c r="N73" s="14"/>
      <c r="O73" s="15"/>
      <c r="P73" s="20"/>
      <c r="Q73" s="22"/>
    </row>
    <row r="74" spans="1:17" x14ac:dyDescent="0.2">
      <c r="A74" s="33"/>
      <c r="B74" s="50"/>
      <c r="D74" s="7"/>
      <c r="E74" s="50"/>
      <c r="F74" s="13"/>
      <c r="G74" s="49"/>
      <c r="H74" s="20"/>
      <c r="I74" s="27"/>
      <c r="J74" s="40"/>
      <c r="K74" s="32"/>
      <c r="L74" s="11"/>
      <c r="N74" s="11"/>
    </row>
    <row r="75" spans="1:17" x14ac:dyDescent="0.2">
      <c r="A75" s="33"/>
      <c r="B75" s="50"/>
      <c r="C75" s="1"/>
      <c r="D75" s="41"/>
      <c r="E75" s="46"/>
      <c r="F75" s="19"/>
      <c r="G75" s="52"/>
      <c r="H75" s="20"/>
      <c r="J75" s="41"/>
      <c r="K75" s="32"/>
      <c r="L75" s="10"/>
      <c r="N75" s="20"/>
    </row>
    <row r="76" spans="1:17" x14ac:dyDescent="0.2">
      <c r="D76" s="41"/>
      <c r="E76" s="46"/>
      <c r="F76" s="24"/>
      <c r="G76" s="50"/>
      <c r="H76" s="20"/>
      <c r="J76" s="41"/>
      <c r="K76" s="32"/>
      <c r="L76" s="10"/>
      <c r="N76" s="20"/>
    </row>
    <row r="77" spans="1:17" x14ac:dyDescent="0.2">
      <c r="A77" s="4"/>
      <c r="B77" s="50"/>
      <c r="D77" s="41"/>
      <c r="E77" s="46"/>
      <c r="F77" s="15"/>
      <c r="G77" s="48"/>
      <c r="H77" s="20"/>
      <c r="J77" s="58"/>
      <c r="K77" s="32"/>
      <c r="L77" s="11"/>
      <c r="N77" s="20"/>
    </row>
    <row r="78" spans="1:17" x14ac:dyDescent="0.2">
      <c r="A78" s="33"/>
      <c r="B78" s="50"/>
      <c r="H78" s="20"/>
      <c r="J78" s="32"/>
      <c r="K78" s="15"/>
      <c r="M78" s="20"/>
      <c r="N78" s="20"/>
    </row>
    <row r="79" spans="1:17" x14ac:dyDescent="0.2">
      <c r="A79" s="33"/>
      <c r="B79" s="50"/>
      <c r="D79" s="7"/>
      <c r="F79" s="13"/>
      <c r="G79" s="49"/>
      <c r="H79" s="20"/>
      <c r="J79" s="32"/>
      <c r="K79" s="15"/>
      <c r="M79" s="20"/>
      <c r="N79" s="20"/>
    </row>
    <row r="80" spans="1:17" x14ac:dyDescent="0.2">
      <c r="A80" s="33"/>
      <c r="B80" s="50"/>
      <c r="D80" s="42"/>
      <c r="H80" s="27"/>
      <c r="J80" s="32"/>
      <c r="K80" s="15"/>
      <c r="M80" s="20"/>
      <c r="N80" s="20"/>
    </row>
    <row r="81" spans="1:14" x14ac:dyDescent="0.2">
      <c r="A81" s="33"/>
      <c r="B81" s="50"/>
      <c r="H81" s="20"/>
      <c r="J81" s="32"/>
      <c r="K81" s="15"/>
      <c r="M81" s="20"/>
      <c r="N81" s="20"/>
    </row>
    <row r="82" spans="1:14" x14ac:dyDescent="0.2">
      <c r="A82" s="33"/>
      <c r="B82" s="50"/>
      <c r="H82" s="30"/>
    </row>
    <row r="83" spans="1:14" x14ac:dyDescent="0.2">
      <c r="A83" s="33"/>
      <c r="B83" s="50"/>
      <c r="H83" s="19"/>
    </row>
    <row r="84" spans="1:14" x14ac:dyDescent="0.2">
      <c r="H84" s="14"/>
    </row>
  </sheetData>
  <mergeCells count="1">
    <mergeCell ref="A23:G23"/>
  </mergeCells>
  <phoneticPr fontId="0" type="noConversion"/>
  <pageMargins left="0.75" right="0.75" top="1" bottom="1" header="0.5" footer="0.5"/>
  <pageSetup scale="47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1" shapeId="18434" r:id="rId4">
          <objectPr defaultSize="0" r:id="rId5">
            <anchor moveWithCells="1">
              <from>
                <xdr:col>0</xdr:col>
                <xdr:colOff>304800</xdr:colOff>
                <xdr:row>70</xdr:row>
                <xdr:rowOff>142875</xdr:rowOff>
              </from>
              <to>
                <xdr:col>8</xdr:col>
                <xdr:colOff>276225</xdr:colOff>
                <xdr:row>87</xdr:row>
                <xdr:rowOff>95250</xdr:rowOff>
              </to>
            </anchor>
          </objectPr>
        </oleObject>
      </mc:Choice>
      <mc:Fallback>
        <oleObject progId="Visio.Drawing.11" shapeId="1843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References</vt:lpstr>
      <vt:lpstr>Accuracy Analysis</vt:lpstr>
    </vt:vector>
  </TitlesOfParts>
  <Company>Analog Devices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Ramya Ramachandran</dc:creator>
  <cp:lastModifiedBy>Reeder, Rob</cp:lastModifiedBy>
  <cp:lastPrinted>2008-05-02T20:36:48Z</cp:lastPrinted>
  <dcterms:created xsi:type="dcterms:W3CDTF">2005-10-14T15:06:55Z</dcterms:created>
  <dcterms:modified xsi:type="dcterms:W3CDTF">2015-12-08T18:26:22Z</dcterms:modified>
</cp:coreProperties>
</file>