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P:\abrierleygreen\MAX2771\system_related\PLL\"/>
    </mc:Choice>
  </mc:AlternateContent>
  <xr:revisionPtr revIDLastSave="0" documentId="13_ncr:1_{FE53FBA0-5B75-4213-8FC5-C3964E959174}" xr6:coauthVersionLast="36" xr6:coauthVersionMax="36" xr10:uidLastSave="{00000000-0000-0000-0000-000000000000}"/>
  <workbookProtection workbookAlgorithmName="SHA-512" workbookHashValue="U5G4pvuTMSDzVx1qtuZJHYWwjByk7jyL4m2IWuGHq/tkPfFJ2CyAv/pV7cY6098Wj5iWUZIlMFdARlfVOsdqXA==" workbookSaltValue="TJ1S67hFxU653QNm748pRg==" workbookSpinCount="100000" lockStructure="1"/>
  <bookViews>
    <workbookView xWindow="0" yWindow="0" windowWidth="20355" windowHeight="8355" tabRatio="793" xr2:uid="{00000000-000D-0000-FFFF-FFFF00000000}"/>
  </bookViews>
  <sheets>
    <sheet name="Top Level" sheetId="1" r:id="rId1"/>
    <sheet name="Log" sheetId="2" state="hidden" r:id="rId2"/>
    <sheet name="2870-71 ICC" sheetId="3" state="hidden" r:id="rId3"/>
    <sheet name="ref spur calc" sheetId="4" state="hidden" r:id="rId4"/>
    <sheet name="ref spur calc 2" sheetId="5" state="hidden" r:id="rId5"/>
    <sheet name="Compare" sheetId="6" state="hidden" r:id="rId6"/>
    <sheet name="Noise model input" sheetId="7" state="hidden" r:id="rId7"/>
    <sheet name="Inputs" sheetId="8" state="hidden" r:id="rId8"/>
    <sheet name="limit check " sheetId="9" state="hidden" r:id="rId9"/>
    <sheet name="register out" sheetId="10" state="hidden" r:id="rId10"/>
    <sheet name="PNoise" sheetId="11" state="hidden" r:id="rId11"/>
    <sheet name="flat 1f raw" sheetId="12" state="hidden" r:id="rId12"/>
    <sheet name="vcxo raw" sheetId="13" state="hidden" r:id="rId13"/>
    <sheet name="vco raw data" sheetId="14" state="hidden" r:id="rId14"/>
    <sheet name="SDM" sheetId="15" state="hidden" r:id="rId15"/>
    <sheet name="PLL filter cal" sheetId="16" state="hidden" r:id="rId16"/>
    <sheet name="rc round" sheetId="17" state="hidden" r:id="rId17"/>
    <sheet name="R noise" sheetId="18" state="hidden" r:id="rId18"/>
  </sheets>
  <definedNames>
    <definedName name="NamedRange1">PNoise!$A$6:$AF$35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" i="1" l="1"/>
  <c r="D38" i="8" l="1"/>
  <c r="D37" i="8" l="1"/>
  <c r="H35" i="18" l="1"/>
  <c r="A35" i="18"/>
  <c r="A52" i="18" s="1"/>
  <c r="E32" i="18"/>
  <c r="D32" i="18"/>
  <c r="C32" i="18"/>
  <c r="B32" i="18"/>
  <c r="A32" i="18"/>
  <c r="E31" i="18"/>
  <c r="D31" i="18"/>
  <c r="C31" i="18"/>
  <c r="B31" i="18"/>
  <c r="A31" i="18"/>
  <c r="E30" i="18"/>
  <c r="D30" i="18"/>
  <c r="C30" i="18"/>
  <c r="B30" i="18"/>
  <c r="A30" i="18"/>
  <c r="E29" i="18"/>
  <c r="G35" i="18" s="1"/>
  <c r="D29" i="18"/>
  <c r="C29" i="18"/>
  <c r="E35" i="18" s="1"/>
  <c r="B29" i="18"/>
  <c r="F35" i="18" s="1"/>
  <c r="A29" i="18"/>
  <c r="A26" i="18"/>
  <c r="C22" i="18"/>
  <c r="D22" i="18" s="1"/>
  <c r="C21" i="18"/>
  <c r="D21" i="18" s="1"/>
  <c r="A46" i="18" s="1"/>
  <c r="C20" i="18"/>
  <c r="D20" i="18" s="1"/>
  <c r="C19" i="18"/>
  <c r="D19" i="18" s="1"/>
  <c r="C18" i="18"/>
  <c r="D18" i="18" s="1"/>
  <c r="C17" i="18"/>
  <c r="D17" i="18" s="1"/>
  <c r="A42" i="18" s="1"/>
  <c r="D16" i="18"/>
  <c r="C16" i="18"/>
  <c r="C15" i="18"/>
  <c r="D15" i="18" s="1"/>
  <c r="A40" i="18" s="1"/>
  <c r="C14" i="18"/>
  <c r="D14" i="18" s="1"/>
  <c r="C13" i="18"/>
  <c r="D13" i="18" s="1"/>
  <c r="A38" i="18" s="1"/>
  <c r="C12" i="18"/>
  <c r="D12" i="18" s="1"/>
  <c r="C11" i="18"/>
  <c r="D11" i="18" s="1"/>
  <c r="C10" i="18"/>
  <c r="AH8" i="18"/>
  <c r="AG8" i="18" s="1"/>
  <c r="D6" i="18"/>
  <c r="D5" i="18"/>
  <c r="G1" i="18"/>
  <c r="A1" i="18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28" i="17"/>
  <c r="I27" i="17"/>
  <c r="I26" i="17"/>
  <c r="K25" i="17"/>
  <c r="I25" i="17"/>
  <c r="K24" i="17"/>
  <c r="I24" i="17"/>
  <c r="K23" i="17"/>
  <c r="I23" i="17"/>
  <c r="K22" i="17"/>
  <c r="I22" i="17"/>
  <c r="K21" i="17"/>
  <c r="I21" i="17"/>
  <c r="K20" i="17"/>
  <c r="I20" i="17"/>
  <c r="K19" i="17"/>
  <c r="I19" i="17"/>
  <c r="K18" i="17"/>
  <c r="I18" i="17"/>
  <c r="K17" i="17"/>
  <c r="I17" i="17"/>
  <c r="K16" i="17"/>
  <c r="I16" i="17"/>
  <c r="K15" i="17"/>
  <c r="I15" i="17"/>
  <c r="K14" i="17"/>
  <c r="I14" i="17"/>
  <c r="K13" i="17"/>
  <c r="I13" i="17"/>
  <c r="K12" i="17"/>
  <c r="I12" i="17"/>
  <c r="K11" i="17"/>
  <c r="I11" i="17"/>
  <c r="K10" i="17"/>
  <c r="I10" i="17"/>
  <c r="K9" i="17"/>
  <c r="I9" i="17"/>
  <c r="K8" i="17"/>
  <c r="I8" i="17"/>
  <c r="K7" i="17"/>
  <c r="I7" i="17"/>
  <c r="K6" i="17"/>
  <c r="I6" i="17"/>
  <c r="K5" i="17"/>
  <c r="I5" i="17"/>
  <c r="K4" i="17"/>
  <c r="I4" i="17"/>
  <c r="K3" i="17"/>
  <c r="I3" i="17"/>
  <c r="H38" i="16"/>
  <c r="G38" i="16"/>
  <c r="C36" i="16"/>
  <c r="D64" i="16" s="1"/>
  <c r="D35" i="16"/>
  <c r="B24" i="11" s="1"/>
  <c r="F40" i="11" s="1"/>
  <c r="C35" i="16"/>
  <c r="D63" i="16" s="1"/>
  <c r="I62" i="16" s="1"/>
  <c r="C34" i="16"/>
  <c r="D33" i="16"/>
  <c r="B22" i="11" s="1"/>
  <c r="F38" i="11" s="1"/>
  <c r="C33" i="16"/>
  <c r="D61" i="16" s="1"/>
  <c r="C32" i="16"/>
  <c r="D60" i="16" s="1"/>
  <c r="C31" i="16"/>
  <c r="D59" i="16" s="1"/>
  <c r="C30" i="16"/>
  <c r="D58" i="16" s="1"/>
  <c r="D29" i="16"/>
  <c r="B18" i="11" s="1"/>
  <c r="F34" i="11" s="1"/>
  <c r="C29" i="16"/>
  <c r="D57" i="16" s="1"/>
  <c r="C28" i="16"/>
  <c r="D56" i="16" s="1"/>
  <c r="C27" i="16"/>
  <c r="D55" i="16" s="1"/>
  <c r="C26" i="16"/>
  <c r="D54" i="16" s="1"/>
  <c r="C25" i="16"/>
  <c r="D53" i="16" s="1"/>
  <c r="C24" i="16"/>
  <c r="A15" i="16"/>
  <c r="J14" i="16"/>
  <c r="H13" i="16"/>
  <c r="B7" i="16"/>
  <c r="D7" i="16" s="1"/>
  <c r="B11" i="16" s="1"/>
  <c r="B6" i="16"/>
  <c r="B9" i="16" s="1"/>
  <c r="B5" i="16"/>
  <c r="V2" i="16"/>
  <c r="U2" i="16"/>
  <c r="T2" i="16"/>
  <c r="S2" i="16"/>
  <c r="N2" i="16"/>
  <c r="B2" i="16"/>
  <c r="L1" i="16"/>
  <c r="L2" i="16" s="1"/>
  <c r="A17" i="15"/>
  <c r="A16" i="15"/>
  <c r="A54" i="14"/>
  <c r="A53" i="14"/>
  <c r="A52" i="14"/>
  <c r="A51" i="14"/>
  <c r="A50" i="14"/>
  <c r="A47" i="14"/>
  <c r="AN47" i="14" s="1"/>
  <c r="B33" i="14"/>
  <c r="H32" i="14"/>
  <c r="K29" i="14"/>
  <c r="V25" i="14"/>
  <c r="U25" i="14"/>
  <c r="T25" i="14"/>
  <c r="S25" i="14"/>
  <c r="R25" i="14"/>
  <c r="Q25" i="14"/>
  <c r="P25" i="14"/>
  <c r="N25" i="14"/>
  <c r="V24" i="14"/>
  <c r="U24" i="14"/>
  <c r="T24" i="14"/>
  <c r="S24" i="14"/>
  <c r="R24" i="14"/>
  <c r="Q24" i="14"/>
  <c r="P24" i="14"/>
  <c r="N24" i="14"/>
  <c r="V23" i="14"/>
  <c r="U23" i="14"/>
  <c r="T23" i="14"/>
  <c r="S23" i="14"/>
  <c r="R23" i="14"/>
  <c r="Q23" i="14"/>
  <c r="P23" i="14"/>
  <c r="N23" i="14"/>
  <c r="V22" i="14"/>
  <c r="U22" i="14"/>
  <c r="T22" i="14"/>
  <c r="S22" i="14"/>
  <c r="R22" i="14"/>
  <c r="Q22" i="14"/>
  <c r="P22" i="14"/>
  <c r="N22" i="14"/>
  <c r="V21" i="14"/>
  <c r="U21" i="14"/>
  <c r="T21" i="14"/>
  <c r="S21" i="14"/>
  <c r="R21" i="14"/>
  <c r="Q21" i="14"/>
  <c r="P21" i="14"/>
  <c r="N21" i="14"/>
  <c r="V20" i="14"/>
  <c r="U20" i="14"/>
  <c r="T20" i="14"/>
  <c r="S20" i="14"/>
  <c r="R20" i="14"/>
  <c r="Q20" i="14"/>
  <c r="P20" i="14"/>
  <c r="N20" i="14"/>
  <c r="N17" i="14" a="1"/>
  <c r="N17" i="14" s="1"/>
  <c r="N14" i="14"/>
  <c r="R14" i="14" s="1"/>
  <c r="D36" i="13"/>
  <c r="A31" i="13"/>
  <c r="C27" i="13"/>
  <c r="B27" i="13"/>
  <c r="C26" i="13"/>
  <c r="B26" i="13"/>
  <c r="C24" i="13"/>
  <c r="B24" i="13"/>
  <c r="C23" i="13"/>
  <c r="B23" i="13"/>
  <c r="C22" i="13"/>
  <c r="B22" i="13"/>
  <c r="C20" i="13"/>
  <c r="B20" i="13"/>
  <c r="L8" i="13"/>
  <c r="F8" i="13"/>
  <c r="F28" i="13" s="1"/>
  <c r="E8" i="13"/>
  <c r="E28" i="13" s="1"/>
  <c r="D8" i="13"/>
  <c r="D28" i="13" s="1"/>
  <c r="L7" i="13"/>
  <c r="F7" i="13"/>
  <c r="F25" i="13" s="1"/>
  <c r="E7" i="13"/>
  <c r="E25" i="13" s="1"/>
  <c r="D7" i="13"/>
  <c r="D25" i="13" s="1"/>
  <c r="L6" i="13"/>
  <c r="F6" i="13"/>
  <c r="F21" i="13" s="1"/>
  <c r="E6" i="13"/>
  <c r="E21" i="13" s="1"/>
  <c r="E22" i="13" s="1"/>
  <c r="D6" i="13"/>
  <c r="D21" i="13" s="1"/>
  <c r="D22" i="13" s="1"/>
  <c r="L5" i="13"/>
  <c r="F5" i="13"/>
  <c r="F19" i="13" s="1"/>
  <c r="E5" i="13"/>
  <c r="E19" i="13" s="1"/>
  <c r="E20" i="13" s="1"/>
  <c r="D5" i="13"/>
  <c r="D19" i="13" s="1"/>
  <c r="L4" i="13"/>
  <c r="F4" i="13"/>
  <c r="F18" i="13" s="1"/>
  <c r="E4" i="13"/>
  <c r="E18" i="13" s="1"/>
  <c r="D4" i="13"/>
  <c r="D18" i="13" s="1"/>
  <c r="L2" i="13"/>
  <c r="F2" i="13"/>
  <c r="F16" i="13" s="1"/>
  <c r="E2" i="13"/>
  <c r="E16" i="13" s="1"/>
  <c r="D2" i="13"/>
  <c r="D16" i="13" s="1"/>
  <c r="F60" i="12"/>
  <c r="G60" i="12" s="1"/>
  <c r="H60" i="12" s="1"/>
  <c r="G59" i="12"/>
  <c r="H59" i="12" s="1"/>
  <c r="F59" i="12"/>
  <c r="F58" i="12"/>
  <c r="G58" i="12" s="1"/>
  <c r="H58" i="12" s="1"/>
  <c r="F57" i="12"/>
  <c r="G57" i="12" s="1"/>
  <c r="H57" i="12" s="1"/>
  <c r="F56" i="12"/>
  <c r="G56" i="12" s="1"/>
  <c r="H56" i="12" s="1"/>
  <c r="F55" i="12"/>
  <c r="G55" i="12" s="1"/>
  <c r="H55" i="12" s="1"/>
  <c r="F54" i="12"/>
  <c r="G54" i="12" s="1"/>
  <c r="H54" i="12" s="1"/>
  <c r="F53" i="12"/>
  <c r="G53" i="12" s="1"/>
  <c r="H53" i="12" s="1"/>
  <c r="F52" i="12"/>
  <c r="G52" i="12" s="1"/>
  <c r="H52" i="12" s="1"/>
  <c r="F51" i="12"/>
  <c r="G51" i="12" s="1"/>
  <c r="H51" i="12" s="1"/>
  <c r="G50" i="12"/>
  <c r="H50" i="12" s="1"/>
  <c r="F50" i="12"/>
  <c r="F49" i="12"/>
  <c r="G49" i="12" s="1"/>
  <c r="H49" i="12" s="1"/>
  <c r="F48" i="12"/>
  <c r="G48" i="12" s="1"/>
  <c r="H48" i="12" s="1"/>
  <c r="F47" i="12"/>
  <c r="G47" i="12" s="1"/>
  <c r="H47" i="12" s="1"/>
  <c r="F46" i="12"/>
  <c r="G46" i="12" s="1"/>
  <c r="H46" i="12" s="1"/>
  <c r="F45" i="12"/>
  <c r="G45" i="12" s="1"/>
  <c r="H45" i="12" s="1"/>
  <c r="F40" i="12"/>
  <c r="G40" i="12" s="1"/>
  <c r="H40" i="12" s="1"/>
  <c r="F39" i="12"/>
  <c r="G39" i="12" s="1"/>
  <c r="H39" i="12" s="1"/>
  <c r="F38" i="12"/>
  <c r="G38" i="12" s="1"/>
  <c r="H38" i="12" s="1"/>
  <c r="G37" i="12"/>
  <c r="H37" i="12" s="1"/>
  <c r="F37" i="12"/>
  <c r="F36" i="12"/>
  <c r="G36" i="12" s="1"/>
  <c r="H36" i="12" s="1"/>
  <c r="F35" i="12"/>
  <c r="G35" i="12" s="1"/>
  <c r="H35" i="12" s="1"/>
  <c r="F34" i="12"/>
  <c r="G34" i="12" s="1"/>
  <c r="H34" i="12" s="1"/>
  <c r="F33" i="12"/>
  <c r="G33" i="12" s="1"/>
  <c r="H33" i="12" s="1"/>
  <c r="F32" i="12"/>
  <c r="G32" i="12" s="1"/>
  <c r="H32" i="12" s="1"/>
  <c r="F31" i="12"/>
  <c r="G31" i="12" s="1"/>
  <c r="H31" i="12" s="1"/>
  <c r="H30" i="12"/>
  <c r="F30" i="12"/>
  <c r="G30" i="12" s="1"/>
  <c r="G29" i="12"/>
  <c r="H29" i="12" s="1"/>
  <c r="F29" i="12"/>
  <c r="F28" i="12"/>
  <c r="G28" i="12" s="1"/>
  <c r="H28" i="12" s="1"/>
  <c r="F27" i="12"/>
  <c r="G27" i="12" s="1"/>
  <c r="H27" i="12" s="1"/>
  <c r="F26" i="12"/>
  <c r="G26" i="12" s="1"/>
  <c r="H26" i="12" s="1"/>
  <c r="F25" i="12"/>
  <c r="G25" i="12" s="1"/>
  <c r="H25" i="12" s="1"/>
  <c r="A16" i="12"/>
  <c r="B33" i="12" s="1"/>
  <c r="C13" i="12"/>
  <c r="C12" i="12"/>
  <c r="C10" i="12"/>
  <c r="C9" i="12"/>
  <c r="C8" i="12"/>
  <c r="C7" i="12"/>
  <c r="C6" i="12"/>
  <c r="C5" i="12"/>
  <c r="A76" i="11"/>
  <c r="A75" i="11"/>
  <c r="C74" i="11"/>
  <c r="A74" i="11"/>
  <c r="C73" i="11"/>
  <c r="A73" i="11"/>
  <c r="C72" i="11"/>
  <c r="A72" i="11"/>
  <c r="C71" i="11"/>
  <c r="A71" i="11"/>
  <c r="C70" i="11"/>
  <c r="A70" i="11"/>
  <c r="D70" i="11" s="1"/>
  <c r="C69" i="11"/>
  <c r="A69" i="11"/>
  <c r="C68" i="11"/>
  <c r="A68" i="11"/>
  <c r="C67" i="11"/>
  <c r="A67" i="11"/>
  <c r="C66" i="11"/>
  <c r="A66" i="11"/>
  <c r="C65" i="11"/>
  <c r="A65" i="11"/>
  <c r="C64" i="11"/>
  <c r="D64" i="11" s="1"/>
  <c r="A64" i="11"/>
  <c r="A44" i="11"/>
  <c r="A43" i="11"/>
  <c r="A42" i="11"/>
  <c r="S41" i="11"/>
  <c r="A41" i="11"/>
  <c r="A40" i="11"/>
  <c r="A39" i="11"/>
  <c r="A38" i="11"/>
  <c r="A37" i="11"/>
  <c r="A36" i="11"/>
  <c r="A35" i="11"/>
  <c r="A34" i="11"/>
  <c r="G28" i="11"/>
  <c r="S25" i="11"/>
  <c r="S24" i="11"/>
  <c r="S23" i="11"/>
  <c r="S42" i="11" s="1"/>
  <c r="S22" i="11"/>
  <c r="S21" i="11"/>
  <c r="S20" i="11"/>
  <c r="S39" i="11" s="1"/>
  <c r="S19" i="11"/>
  <c r="S18" i="11"/>
  <c r="S17" i="11"/>
  <c r="X17" i="11" s="1"/>
  <c r="S16" i="11"/>
  <c r="S15" i="11"/>
  <c r="S34" i="11" s="1"/>
  <c r="AP13" i="11"/>
  <c r="AP18" i="11" s="1"/>
  <c r="X13" i="11"/>
  <c r="W13" i="11"/>
  <c r="C13" i="11"/>
  <c r="K10" i="11"/>
  <c r="N8" i="11"/>
  <c r="K8" i="11"/>
  <c r="B8" i="11"/>
  <c r="AJ7" i="11"/>
  <c r="AI7" i="11"/>
  <c r="BE13" i="11" s="1"/>
  <c r="AH7" i="11"/>
  <c r="BD13" i="11" s="1"/>
  <c r="N7" i="11"/>
  <c r="AJ6" i="11"/>
  <c r="AI6" i="11"/>
  <c r="AX13" i="11" s="1"/>
  <c r="AH6" i="11"/>
  <c r="AW13" i="11" s="1"/>
  <c r="AJ5" i="11"/>
  <c r="AI5" i="11"/>
  <c r="AQ13" i="11" s="1"/>
  <c r="AH5" i="11"/>
  <c r="AJ4" i="11"/>
  <c r="AI4" i="11"/>
  <c r="AJ13" i="11" s="1"/>
  <c r="AH4" i="11"/>
  <c r="AI13" i="11" s="1"/>
  <c r="AI3" i="11"/>
  <c r="AH3" i="11"/>
  <c r="Z1" i="11"/>
  <c r="Y1" i="11"/>
  <c r="X1" i="11"/>
  <c r="W1" i="11"/>
  <c r="V1" i="11"/>
  <c r="U1" i="11"/>
  <c r="T1" i="11"/>
  <c r="S1" i="11"/>
  <c r="R1" i="11"/>
  <c r="Q1" i="11"/>
  <c r="P1" i="11"/>
  <c r="O1" i="11"/>
  <c r="N1" i="11"/>
  <c r="N44" i="10"/>
  <c r="N43" i="10"/>
  <c r="N42" i="10"/>
  <c r="N41" i="10"/>
  <c r="O40" i="10"/>
  <c r="N40" i="10"/>
  <c r="N39" i="10"/>
  <c r="N38" i="10"/>
  <c r="J38" i="10"/>
  <c r="N37" i="10"/>
  <c r="J37" i="10"/>
  <c r="O36" i="10"/>
  <c r="O37" i="10" s="1"/>
  <c r="N36" i="10"/>
  <c r="J36" i="10"/>
  <c r="F36" i="10"/>
  <c r="N35" i="10"/>
  <c r="K35" i="10"/>
  <c r="J35" i="10"/>
  <c r="F35" i="10"/>
  <c r="R34" i="10"/>
  <c r="N34" i="10"/>
  <c r="K34" i="10"/>
  <c r="J34" i="10"/>
  <c r="G34" i="10"/>
  <c r="K36" i="10" s="1"/>
  <c r="F34" i="10"/>
  <c r="R33" i="10"/>
  <c r="N33" i="10"/>
  <c r="J33" i="10"/>
  <c r="F33" i="10"/>
  <c r="B33" i="10"/>
  <c r="R32" i="10"/>
  <c r="N32" i="10"/>
  <c r="J32" i="10"/>
  <c r="F32" i="10"/>
  <c r="B32" i="10"/>
  <c r="S31" i="10"/>
  <c r="R31" i="10"/>
  <c r="N31" i="10"/>
  <c r="J31" i="10"/>
  <c r="F31" i="10"/>
  <c r="B31" i="10"/>
  <c r="R30" i="10"/>
  <c r="N30" i="10"/>
  <c r="J30" i="10"/>
  <c r="F30" i="10"/>
  <c r="B30" i="10"/>
  <c r="R29" i="10"/>
  <c r="N29" i="10"/>
  <c r="J29" i="10"/>
  <c r="G29" i="10"/>
  <c r="K29" i="10" s="1"/>
  <c r="O29" i="10" s="1"/>
  <c r="F29" i="10"/>
  <c r="B29" i="10"/>
  <c r="J18" i="10"/>
  <c r="J17" i="10"/>
  <c r="R16" i="10"/>
  <c r="J16" i="10"/>
  <c r="R15" i="10"/>
  <c r="J15" i="10"/>
  <c r="R14" i="10"/>
  <c r="J14" i="10"/>
  <c r="R13" i="10"/>
  <c r="J13" i="10"/>
  <c r="R12" i="10"/>
  <c r="J12" i="10"/>
  <c r="S11" i="10"/>
  <c r="R11" i="10"/>
  <c r="K11" i="10"/>
  <c r="J11" i="10"/>
  <c r="V10" i="10"/>
  <c r="R10" i="10"/>
  <c r="N10" i="10"/>
  <c r="J10" i="10"/>
  <c r="V9" i="10"/>
  <c r="R9" i="10"/>
  <c r="N9" i="10"/>
  <c r="K9" i="10"/>
  <c r="J9" i="10"/>
  <c r="F9" i="10"/>
  <c r="V8" i="10"/>
  <c r="R8" i="10"/>
  <c r="N8" i="10"/>
  <c r="K8" i="10"/>
  <c r="J8" i="10"/>
  <c r="F8" i="10"/>
  <c r="V7" i="10"/>
  <c r="S7" i="10"/>
  <c r="R7" i="10"/>
  <c r="N7" i="10"/>
  <c r="K7" i="10"/>
  <c r="J7" i="10"/>
  <c r="F7" i="10"/>
  <c r="B7" i="10"/>
  <c r="V6" i="10"/>
  <c r="R6" i="10"/>
  <c r="N6" i="10"/>
  <c r="J6" i="10"/>
  <c r="F6" i="10"/>
  <c r="B6" i="10"/>
  <c r="V5" i="10"/>
  <c r="R5" i="10"/>
  <c r="N5" i="10"/>
  <c r="J5" i="10"/>
  <c r="F5" i="10"/>
  <c r="B5" i="10"/>
  <c r="V4" i="10"/>
  <c r="R4" i="10"/>
  <c r="N4" i="10"/>
  <c r="J4" i="10"/>
  <c r="F4" i="10"/>
  <c r="C4" i="10"/>
  <c r="O35" i="10" s="1"/>
  <c r="B4" i="10"/>
  <c r="B18" i="9"/>
  <c r="H1" i="9"/>
  <c r="G1" i="9"/>
  <c r="F1" i="9"/>
  <c r="E1" i="9"/>
  <c r="D1" i="9"/>
  <c r="C1" i="9"/>
  <c r="B1" i="9"/>
  <c r="A1" i="9"/>
  <c r="V41" i="8"/>
  <c r="P41" i="8"/>
  <c r="M41" i="8"/>
  <c r="L41" i="8"/>
  <c r="K41" i="8"/>
  <c r="J41" i="8"/>
  <c r="I41" i="8"/>
  <c r="H41" i="8"/>
  <c r="G41" i="8"/>
  <c r="F41" i="8"/>
  <c r="D41" i="8"/>
  <c r="D40" i="8"/>
  <c r="D39" i="8"/>
  <c r="D36" i="8"/>
  <c r="D35" i="8"/>
  <c r="D34" i="8"/>
  <c r="D33" i="8"/>
  <c r="D32" i="8"/>
  <c r="Z31" i="8"/>
  <c r="T31" i="8"/>
  <c r="D31" i="8"/>
  <c r="Z30" i="8"/>
  <c r="T30" i="8"/>
  <c r="D30" i="8"/>
  <c r="Z29" i="8"/>
  <c r="T29" i="8"/>
  <c r="D29" i="8"/>
  <c r="D28" i="8"/>
  <c r="D27" i="8"/>
  <c r="D26" i="8"/>
  <c r="D25" i="8"/>
  <c r="D24" i="8"/>
  <c r="D23" i="8"/>
  <c r="AH3" i="8"/>
  <c r="AG3" i="8"/>
  <c r="AF3" i="8"/>
  <c r="D3" i="8"/>
  <c r="C3" i="8"/>
  <c r="E2" i="8"/>
  <c r="D2" i="8"/>
  <c r="F12" i="7"/>
  <c r="E12" i="7"/>
  <c r="D12" i="7"/>
  <c r="C12" i="7"/>
  <c r="B12" i="7"/>
  <c r="G9" i="7"/>
  <c r="E33" i="6"/>
  <c r="E32" i="6"/>
  <c r="A32" i="6"/>
  <c r="E31" i="6"/>
  <c r="A31" i="6"/>
  <c r="E30" i="6"/>
  <c r="A30" i="6"/>
  <c r="E29" i="6"/>
  <c r="A29" i="6"/>
  <c r="E28" i="6"/>
  <c r="A28" i="6"/>
  <c r="E27" i="6"/>
  <c r="A27" i="6"/>
  <c r="E26" i="6"/>
  <c r="A26" i="6"/>
  <c r="E25" i="6"/>
  <c r="A25" i="6"/>
  <c r="E24" i="6"/>
  <c r="A24" i="6"/>
  <c r="E23" i="6"/>
  <c r="A23" i="6"/>
  <c r="E22" i="6"/>
  <c r="A22" i="6"/>
  <c r="E21" i="6"/>
  <c r="A21" i="6"/>
  <c r="E20" i="6"/>
  <c r="A20" i="6"/>
  <c r="E2" i="6"/>
  <c r="D2" i="6"/>
  <c r="K57" i="5"/>
  <c r="K56" i="5"/>
  <c r="F53" i="5"/>
  <c r="H53" i="5" s="1"/>
  <c r="A53" i="5"/>
  <c r="C53" i="5" s="1"/>
  <c r="H52" i="5"/>
  <c r="C52" i="5"/>
  <c r="F51" i="5"/>
  <c r="H51" i="5" s="1"/>
  <c r="A51" i="5"/>
  <c r="C51" i="5" s="1"/>
  <c r="H50" i="5"/>
  <c r="C50" i="5"/>
  <c r="F49" i="5"/>
  <c r="H49" i="5" s="1"/>
  <c r="A49" i="5"/>
  <c r="C49" i="5" s="1"/>
  <c r="H48" i="5"/>
  <c r="C48" i="5"/>
  <c r="F47" i="5"/>
  <c r="H47" i="5" s="1"/>
  <c r="C47" i="5"/>
  <c r="A47" i="5"/>
  <c r="H46" i="5"/>
  <c r="C46" i="5"/>
  <c r="K45" i="5"/>
  <c r="F45" i="5"/>
  <c r="H45" i="5" s="1"/>
  <c r="A45" i="5"/>
  <c r="C45" i="5" s="1"/>
  <c r="H44" i="5"/>
  <c r="C44" i="5"/>
  <c r="F43" i="5"/>
  <c r="H43" i="5" s="1"/>
  <c r="A43" i="5"/>
  <c r="C43" i="5" s="1"/>
  <c r="H42" i="5"/>
  <c r="C42" i="5"/>
  <c r="F41" i="5"/>
  <c r="H41" i="5" s="1"/>
  <c r="A41" i="5"/>
  <c r="C41" i="5" s="1"/>
  <c r="H40" i="5"/>
  <c r="C40" i="5"/>
  <c r="F39" i="5"/>
  <c r="H39" i="5" s="1"/>
  <c r="A39" i="5"/>
  <c r="C39" i="5" s="1"/>
  <c r="H38" i="5"/>
  <c r="K53" i="5" s="1"/>
  <c r="C38" i="5"/>
  <c r="F37" i="5"/>
  <c r="H37" i="5" s="1"/>
  <c r="K52" i="5" s="1"/>
  <c r="C37" i="5"/>
  <c r="K37" i="5" s="1"/>
  <c r="A37" i="5"/>
  <c r="H36" i="5"/>
  <c r="K51" i="5" s="1"/>
  <c r="C36" i="5"/>
  <c r="K36" i="5" s="1"/>
  <c r="F35" i="5"/>
  <c r="H35" i="5" s="1"/>
  <c r="K50" i="5" s="1"/>
  <c r="A35" i="5"/>
  <c r="C35" i="5" s="1"/>
  <c r="K35" i="5" s="1"/>
  <c r="H34" i="5"/>
  <c r="K49" i="5" s="1"/>
  <c r="C34" i="5"/>
  <c r="K34" i="5" s="1"/>
  <c r="H33" i="5"/>
  <c r="K48" i="5" s="1"/>
  <c r="F33" i="5"/>
  <c r="A33" i="5"/>
  <c r="C33" i="5" s="1"/>
  <c r="K33" i="5" s="1"/>
  <c r="H32" i="5"/>
  <c r="K47" i="5" s="1"/>
  <c r="C32" i="5"/>
  <c r="K32" i="5" s="1"/>
  <c r="F31" i="5"/>
  <c r="H31" i="5" s="1"/>
  <c r="K46" i="5" s="1"/>
  <c r="A31" i="5"/>
  <c r="C31" i="5" s="1"/>
  <c r="K31" i="5" s="1"/>
  <c r="H30" i="5"/>
  <c r="C30" i="5"/>
  <c r="K30" i="5" s="1"/>
  <c r="F29" i="5"/>
  <c r="A29" i="5"/>
  <c r="L26" i="5"/>
  <c r="L27" i="5" s="1"/>
  <c r="L28" i="5" s="1"/>
  <c r="L29" i="5" s="1"/>
  <c r="L30" i="5" s="1"/>
  <c r="L31" i="5" s="1"/>
  <c r="L32" i="5" s="1"/>
  <c r="L33" i="5" s="1"/>
  <c r="L34" i="5" s="1"/>
  <c r="L35" i="5" s="1"/>
  <c r="G26" i="5"/>
  <c r="G28" i="5" s="1"/>
  <c r="G30" i="5" s="1"/>
  <c r="G32" i="5" s="1"/>
  <c r="G34" i="5" s="1"/>
  <c r="G36" i="5" s="1"/>
  <c r="G38" i="5" s="1"/>
  <c r="G40" i="5" s="1"/>
  <c r="G42" i="5" s="1"/>
  <c r="G44" i="5" s="1"/>
  <c r="G46" i="5" s="1"/>
  <c r="G48" i="5" s="1"/>
  <c r="G50" i="5" s="1"/>
  <c r="G52" i="5" s="1"/>
  <c r="B26" i="5"/>
  <c r="B28" i="5" s="1"/>
  <c r="L24" i="5"/>
  <c r="G23" i="5"/>
  <c r="D23" i="5"/>
  <c r="F21" i="5"/>
  <c r="F20" i="5"/>
  <c r="G17" i="5" s="1"/>
  <c r="G18" i="5"/>
  <c r="G19" i="5" s="1"/>
  <c r="B17" i="5"/>
  <c r="G15" i="5"/>
  <c r="B15" i="5"/>
  <c r="G14" i="5"/>
  <c r="I18" i="5" s="1"/>
  <c r="B14" i="5"/>
  <c r="E4" i="5"/>
  <c r="A51" i="4"/>
  <c r="C51" i="4" s="1"/>
  <c r="C50" i="4"/>
  <c r="A49" i="4"/>
  <c r="C49" i="4" s="1"/>
  <c r="C48" i="4"/>
  <c r="A47" i="4"/>
  <c r="C47" i="4" s="1"/>
  <c r="C46" i="4"/>
  <c r="A45" i="4"/>
  <c r="C45" i="4" s="1"/>
  <c r="C44" i="4"/>
  <c r="C43" i="4"/>
  <c r="A43" i="4"/>
  <c r="C42" i="4"/>
  <c r="A41" i="4"/>
  <c r="C41" i="4" s="1"/>
  <c r="C40" i="4"/>
  <c r="A39" i="4"/>
  <c r="C39" i="4" s="1"/>
  <c r="C38" i="4"/>
  <c r="A37" i="4"/>
  <c r="C37" i="4" s="1"/>
  <c r="C36" i="4"/>
  <c r="C35" i="4"/>
  <c r="A35" i="4"/>
  <c r="C34" i="4"/>
  <c r="A33" i="4"/>
  <c r="C33" i="4" s="1"/>
  <c r="C32" i="4"/>
  <c r="C31" i="4"/>
  <c r="A31" i="4"/>
  <c r="C30" i="4"/>
  <c r="A29" i="4"/>
  <c r="C29" i="4" s="1"/>
  <c r="C28" i="4"/>
  <c r="A27" i="4"/>
  <c r="C27" i="4" s="1"/>
  <c r="C26" i="4"/>
  <c r="E18" i="4"/>
  <c r="B17" i="4"/>
  <c r="B20" i="4" s="1"/>
  <c r="A24" i="4" s="1"/>
  <c r="E16" i="4"/>
  <c r="E14" i="4"/>
  <c r="B14" i="4"/>
  <c r="G12" i="4"/>
  <c r="E4" i="4"/>
  <c r="K16" i="3"/>
  <c r="K15" i="3"/>
  <c r="K14" i="3"/>
  <c r="K13" i="3"/>
  <c r="K12" i="3"/>
  <c r="K11" i="3"/>
  <c r="K10" i="3"/>
  <c r="K9" i="3"/>
  <c r="K6" i="3"/>
  <c r="K5" i="3"/>
  <c r="D5" i="3" s="1"/>
  <c r="K4" i="3"/>
  <c r="B4" i="3"/>
  <c r="B65" i="1"/>
  <c r="B56" i="1"/>
  <c r="AB29" i="1"/>
  <c r="L14" i="1"/>
  <c r="K14" i="1"/>
  <c r="L13" i="1"/>
  <c r="K13" i="1"/>
  <c r="K12" i="1"/>
  <c r="G12" i="1"/>
  <c r="B14" i="9" s="1"/>
  <c r="G9" i="1"/>
  <c r="K7" i="1"/>
  <c r="F18" i="16" s="1"/>
  <c r="J7" i="1"/>
  <c r="F20" i="16" s="1"/>
  <c r="I7" i="1"/>
  <c r="F17" i="16" s="1"/>
  <c r="H7" i="1"/>
  <c r="F19" i="16" s="1"/>
  <c r="G7" i="1"/>
  <c r="F16" i="16" s="1"/>
  <c r="K4" i="1"/>
  <c r="I4" i="1"/>
  <c r="G4" i="1"/>
  <c r="F4" i="1"/>
  <c r="AP56" i="14" l="1"/>
  <c r="AO60" i="14"/>
  <c r="AN60" i="14"/>
  <c r="AP58" i="14"/>
  <c r="AO57" i="14"/>
  <c r="AN56" i="14"/>
  <c r="AP59" i="14"/>
  <c r="AO58" i="14"/>
  <c r="AN57" i="14"/>
  <c r="AP55" i="14"/>
  <c r="AP60" i="14"/>
  <c r="AO59" i="14"/>
  <c r="AN58" i="14"/>
  <c r="AO55" i="14"/>
  <c r="AN59" i="14"/>
  <c r="AP57" i="14"/>
  <c r="AO56" i="14"/>
  <c r="AN55" i="14"/>
  <c r="O47" i="14"/>
  <c r="Q59" i="14" s="1"/>
  <c r="AI47" i="14"/>
  <c r="B20" i="5"/>
  <c r="A26" i="5" s="1"/>
  <c r="K32" i="10"/>
  <c r="X22" i="11"/>
  <c r="D69" i="11"/>
  <c r="B21" i="12"/>
  <c r="E26" i="13"/>
  <c r="D26" i="16"/>
  <c r="S36" i="11"/>
  <c r="B26" i="12"/>
  <c r="D66" i="11"/>
  <c r="B19" i="12"/>
  <c r="B28" i="12"/>
  <c r="V14" i="14"/>
  <c r="G7" i="8" s="1"/>
  <c r="D25" i="16"/>
  <c r="D31" i="16"/>
  <c r="D32" i="16"/>
  <c r="Z33" i="16"/>
  <c r="B27" i="18"/>
  <c r="O34" i="10"/>
  <c r="B22" i="12"/>
  <c r="B34" i="12"/>
  <c r="G27" i="5"/>
  <c r="G25" i="5" s="1"/>
  <c r="G4" i="10"/>
  <c r="BD24" i="11"/>
  <c r="D74" i="11"/>
  <c r="B20" i="12"/>
  <c r="B30" i="12"/>
  <c r="D27" i="16"/>
  <c r="D28" i="16"/>
  <c r="B17" i="11" s="1"/>
  <c r="F33" i="11" s="1"/>
  <c r="D30" i="16"/>
  <c r="D36" i="16"/>
  <c r="AO18" i="11"/>
  <c r="AS18" i="11" s="1"/>
  <c r="AQ20" i="11"/>
  <c r="F20" i="13"/>
  <c r="BE23" i="11"/>
  <c r="BE22" i="11"/>
  <c r="BE17" i="11"/>
  <c r="BC17" i="11"/>
  <c r="BF17" i="11" s="1"/>
  <c r="BE21" i="11"/>
  <c r="BC21" i="11"/>
  <c r="BG21" i="11" s="1"/>
  <c r="BC22" i="11"/>
  <c r="BG22" i="11" s="1"/>
  <c r="BE24" i="11"/>
  <c r="E3" i="8"/>
  <c r="D4" i="8" s="1"/>
  <c r="E4" i="8" s="1"/>
  <c r="B24" i="12"/>
  <c r="E24" i="13"/>
  <c r="E23" i="13"/>
  <c r="BD18" i="11"/>
  <c r="X24" i="11"/>
  <c r="Y47" i="14"/>
  <c r="Z58" i="14" s="1"/>
  <c r="K12" i="10"/>
  <c r="B32" i="12"/>
  <c r="D20" i="13"/>
  <c r="AD47" i="14"/>
  <c r="X25" i="11"/>
  <c r="V17" i="11"/>
  <c r="V19" i="11"/>
  <c r="V22" i="11"/>
  <c r="X15" i="11"/>
  <c r="K4" i="10"/>
  <c r="B54" i="1"/>
  <c r="S6" i="10" s="1"/>
  <c r="A33" i="13"/>
  <c r="A34" i="13" s="1"/>
  <c r="C14" i="11" s="1"/>
  <c r="A25" i="5"/>
  <c r="A27" i="5"/>
  <c r="C26" i="5"/>
  <c r="K26" i="5" s="1"/>
  <c r="B30" i="5"/>
  <c r="B32" i="5" s="1"/>
  <c r="B34" i="5" s="1"/>
  <c r="B36" i="5" s="1"/>
  <c r="B38" i="5" s="1"/>
  <c r="B40" i="5" s="1"/>
  <c r="B42" i="5" s="1"/>
  <c r="B44" i="5" s="1"/>
  <c r="B46" i="5" s="1"/>
  <c r="B48" i="5" s="1"/>
  <c r="B50" i="5" s="1"/>
  <c r="B52" i="5" s="1"/>
  <c r="C28" i="5"/>
  <c r="K28" i="5" s="1"/>
  <c r="G20" i="5"/>
  <c r="F26" i="5" s="1"/>
  <c r="G21" i="5"/>
  <c r="A25" i="4"/>
  <c r="H8" i="5"/>
  <c r="H9" i="5" s="1"/>
  <c r="H10" i="5" s="1"/>
  <c r="G22" i="5"/>
  <c r="B21" i="5"/>
  <c r="B19" i="4"/>
  <c r="C8" i="4" s="1"/>
  <c r="C9" i="4" s="1"/>
  <c r="C10" i="4" s="1"/>
  <c r="B15" i="4" s="1"/>
  <c r="B3" i="5"/>
  <c r="I26" i="5"/>
  <c r="B21" i="4"/>
  <c r="B27" i="5"/>
  <c r="E17" i="4"/>
  <c r="E27" i="4" s="1"/>
  <c r="H28" i="5"/>
  <c r="K43" i="5" s="1"/>
  <c r="O38" i="10"/>
  <c r="N46" i="10" s="1"/>
  <c r="M47" i="10" s="1"/>
  <c r="AI21" i="11"/>
  <c r="AI19" i="11"/>
  <c r="AI20" i="11"/>
  <c r="AI15" i="11"/>
  <c r="AI22" i="11"/>
  <c r="AI25" i="11"/>
  <c r="AI18" i="11"/>
  <c r="AI23" i="11"/>
  <c r="AI16" i="11"/>
  <c r="AI17" i="11"/>
  <c r="AI24" i="11"/>
  <c r="B4" i="5"/>
  <c r="B19" i="5"/>
  <c r="V21" i="10"/>
  <c r="U22" i="10" s="1"/>
  <c r="AJ24" i="11"/>
  <c r="AJ18" i="11"/>
  <c r="AJ22" i="11"/>
  <c r="AJ25" i="11"/>
  <c r="AJ20" i="11"/>
  <c r="AJ23" i="11"/>
  <c r="AH20" i="11"/>
  <c r="AJ16" i="11"/>
  <c r="AH25" i="11"/>
  <c r="AJ21" i="11"/>
  <c r="AJ19" i="11"/>
  <c r="AJ17" i="11"/>
  <c r="AH17" i="11"/>
  <c r="AJ15" i="11"/>
  <c r="D26" i="5"/>
  <c r="N21" i="10"/>
  <c r="M22" i="10" s="1"/>
  <c r="AV22" i="11"/>
  <c r="B3" i="4"/>
  <c r="AW23" i="11"/>
  <c r="AW25" i="11"/>
  <c r="AW24" i="11"/>
  <c r="AW17" i="11"/>
  <c r="AW22" i="11"/>
  <c r="AW16" i="11"/>
  <c r="AW18" i="11"/>
  <c r="AW20" i="11"/>
  <c r="AW19" i="11"/>
  <c r="AW15" i="11"/>
  <c r="AW21" i="11"/>
  <c r="B4" i="4"/>
  <c r="AX20" i="11"/>
  <c r="AX22" i="11"/>
  <c r="AX21" i="11"/>
  <c r="AX24" i="11"/>
  <c r="AX16" i="11"/>
  <c r="AX18" i="11"/>
  <c r="AX17" i="11"/>
  <c r="AX19" i="11"/>
  <c r="AV17" i="11"/>
  <c r="AX25" i="11"/>
  <c r="AX23" i="11"/>
  <c r="AX15" i="11"/>
  <c r="AV25" i="11"/>
  <c r="AV23" i="11"/>
  <c r="AV15" i="11"/>
  <c r="C53" i="16"/>
  <c r="B2" i="15"/>
  <c r="B1" i="16"/>
  <c r="D8" i="11"/>
  <c r="I23" i="5"/>
  <c r="R46" i="10"/>
  <c r="Q47" i="10" s="1"/>
  <c r="AH16" i="11"/>
  <c r="AO16" i="11"/>
  <c r="AP16" i="11"/>
  <c r="W17" i="11"/>
  <c r="BD17" i="11"/>
  <c r="AH19" i="11"/>
  <c r="AV19" i="11"/>
  <c r="S40" i="11"/>
  <c r="X39" i="11" s="1"/>
  <c r="AO21" i="11"/>
  <c r="AH21" i="11"/>
  <c r="BC24" i="11"/>
  <c r="AH24" i="11"/>
  <c r="S43" i="11"/>
  <c r="W41" i="11" s="1"/>
  <c r="V24" i="11"/>
  <c r="F26" i="13"/>
  <c r="F27" i="13"/>
  <c r="F24" i="13"/>
  <c r="C33" i="14"/>
  <c r="D33" i="14"/>
  <c r="E33" i="14" s="1"/>
  <c r="AP19" i="11"/>
  <c r="AP25" i="11"/>
  <c r="BC16" i="11"/>
  <c r="S37" i="11"/>
  <c r="X36" i="11" s="1"/>
  <c r="BC18" i="11"/>
  <c r="AH18" i="11"/>
  <c r="AR18" i="11"/>
  <c r="BE18" i="11"/>
  <c r="AP22" i="11"/>
  <c r="V41" i="11"/>
  <c r="D67" i="11"/>
  <c r="G5" i="10"/>
  <c r="AQ22" i="11"/>
  <c r="AO20" i="11"/>
  <c r="AQ24" i="11"/>
  <c r="AQ16" i="11"/>
  <c r="AQ23" i="11"/>
  <c r="AQ19" i="11"/>
  <c r="AQ18" i="11"/>
  <c r="AO15" i="11"/>
  <c r="V16" i="11"/>
  <c r="BD16" i="11"/>
  <c r="AO24" i="11"/>
  <c r="S35" i="11"/>
  <c r="V35" i="11" s="1"/>
  <c r="AP15" i="11"/>
  <c r="X16" i="11"/>
  <c r="BE16" i="11"/>
  <c r="AV18" i="11"/>
  <c r="X19" i="11"/>
  <c r="V21" i="11"/>
  <c r="AP21" i="11"/>
  <c r="BF21" i="11"/>
  <c r="AH23" i="11"/>
  <c r="BC23" i="11"/>
  <c r="AP24" i="11"/>
  <c r="BC25" i="11"/>
  <c r="AQ15" i="11"/>
  <c r="AV16" i="11"/>
  <c r="AO17" i="11"/>
  <c r="V18" i="11"/>
  <c r="BC19" i="11"/>
  <c r="AQ21" i="11"/>
  <c r="V23" i="11"/>
  <c r="BE25" i="11"/>
  <c r="W22" i="11"/>
  <c r="W36" i="11"/>
  <c r="W24" i="11"/>
  <c r="W25" i="11"/>
  <c r="W19" i="11"/>
  <c r="W16" i="11"/>
  <c r="W21" i="11"/>
  <c r="W20" i="11"/>
  <c r="W18" i="11"/>
  <c r="BD21" i="11"/>
  <c r="BD23" i="11"/>
  <c r="BD22" i="11"/>
  <c r="BD19" i="11"/>
  <c r="BD15" i="11"/>
  <c r="BD25" i="11"/>
  <c r="V15" i="11"/>
  <c r="AH15" i="11"/>
  <c r="BC15" i="11"/>
  <c r="AP17" i="11"/>
  <c r="X18" i="11"/>
  <c r="AO19" i="11"/>
  <c r="BE19" i="11"/>
  <c r="V20" i="11"/>
  <c r="BC20" i="11"/>
  <c r="W23" i="11"/>
  <c r="AO23" i="11"/>
  <c r="AV24" i="11"/>
  <c r="B26" i="11"/>
  <c r="F42" i="11" s="1"/>
  <c r="D71" i="11"/>
  <c r="D23" i="13"/>
  <c r="D24" i="13"/>
  <c r="X38" i="11"/>
  <c r="B27" i="11"/>
  <c r="X21" i="11"/>
  <c r="BE20" i="11"/>
  <c r="W15" i="11"/>
  <c r="BE15" i="11"/>
  <c r="AQ17" i="11"/>
  <c r="X20" i="11"/>
  <c r="AP20" i="11"/>
  <c r="BD20" i="11"/>
  <c r="AV21" i="11"/>
  <c r="AH22" i="11"/>
  <c r="AO22" i="11"/>
  <c r="X23" i="11"/>
  <c r="AP23" i="11"/>
  <c r="AQ25" i="11"/>
  <c r="S38" i="11"/>
  <c r="V38" i="11" s="1"/>
  <c r="D27" i="13"/>
  <c r="D26" i="13"/>
  <c r="A8" i="15"/>
  <c r="G29" i="16"/>
  <c r="Z29" i="16"/>
  <c r="Z35" i="16"/>
  <c r="G35" i="16"/>
  <c r="A14" i="15"/>
  <c r="A7" i="15"/>
  <c r="A47" i="18"/>
  <c r="AO25" i="11"/>
  <c r="V25" i="11"/>
  <c r="E27" i="13"/>
  <c r="S14" i="14"/>
  <c r="O14" i="14"/>
  <c r="U14" i="14"/>
  <c r="F7" i="8" s="1"/>
  <c r="T14" i="14"/>
  <c r="E7" i="8" s="1"/>
  <c r="Q14" i="14"/>
  <c r="B10" i="16"/>
  <c r="B12" i="16" s="1"/>
  <c r="E12" i="16" s="1"/>
  <c r="Z25" i="16"/>
  <c r="A12" i="15"/>
  <c r="G33" i="16"/>
  <c r="S44" i="11"/>
  <c r="V44" i="11" s="1"/>
  <c r="F22" i="13"/>
  <c r="P14" i="14"/>
  <c r="AV20" i="11"/>
  <c r="B23" i="12"/>
  <c r="Z32" i="16"/>
  <c r="A43" i="18"/>
  <c r="B25" i="12"/>
  <c r="B27" i="12"/>
  <c r="B29" i="12"/>
  <c r="B31" i="12"/>
  <c r="J47" i="14"/>
  <c r="D62" i="16"/>
  <c r="D34" i="16"/>
  <c r="F23" i="13"/>
  <c r="T47" i="14"/>
  <c r="A45" i="18"/>
  <c r="D65" i="16"/>
  <c r="I63" i="16"/>
  <c r="A39" i="18"/>
  <c r="A44" i="18"/>
  <c r="AP19" i="18"/>
  <c r="AP15" i="18"/>
  <c r="AP11" i="18"/>
  <c r="AP16" i="18"/>
  <c r="AP20" i="18"/>
  <c r="AP18" i="18"/>
  <c r="AP22" i="18"/>
  <c r="AP13" i="18"/>
  <c r="AP17" i="18"/>
  <c r="AP21" i="18"/>
  <c r="AP12" i="18"/>
  <c r="AP14" i="18"/>
  <c r="A63" i="18"/>
  <c r="A59" i="18"/>
  <c r="A55" i="18"/>
  <c r="A37" i="18"/>
  <c r="D27" i="18"/>
  <c r="A27" i="18"/>
  <c r="A57" i="18"/>
  <c r="C27" i="18"/>
  <c r="E27" i="18"/>
  <c r="A36" i="18"/>
  <c r="A41" i="18"/>
  <c r="A39" i="13" l="1"/>
  <c r="C19" i="11" s="1"/>
  <c r="A45" i="13"/>
  <c r="C25" i="11" s="1"/>
  <c r="A37" i="13"/>
  <c r="C17" i="11" s="1"/>
  <c r="A41" i="13"/>
  <c r="C21" i="11" s="1"/>
  <c r="O60" i="14"/>
  <c r="Q56" i="14"/>
  <c r="P57" i="14"/>
  <c r="Q58" i="14"/>
  <c r="Q57" i="14"/>
  <c r="O58" i="14"/>
  <c r="P60" i="14"/>
  <c r="O55" i="14"/>
  <c r="P59" i="14"/>
  <c r="Q55" i="14"/>
  <c r="P55" i="14"/>
  <c r="O57" i="14"/>
  <c r="Q60" i="14"/>
  <c r="AJ57" i="14"/>
  <c r="AK59" i="14"/>
  <c r="AJ58" i="14"/>
  <c r="AI57" i="14"/>
  <c r="AK55" i="14"/>
  <c r="AK60" i="14"/>
  <c r="AJ59" i="14"/>
  <c r="AI58" i="14"/>
  <c r="AK56" i="14"/>
  <c r="AJ55" i="14"/>
  <c r="AJ60" i="14"/>
  <c r="AI59" i="14"/>
  <c r="AK57" i="14"/>
  <c r="AJ56" i="14"/>
  <c r="AI55" i="14"/>
  <c r="AI60" i="14"/>
  <c r="AK58" i="14"/>
  <c r="AI56" i="14"/>
  <c r="O56" i="14"/>
  <c r="O59" i="14"/>
  <c r="P58" i="14"/>
  <c r="AE59" i="14"/>
  <c r="P56" i="14"/>
  <c r="AF56" i="14"/>
  <c r="AD58" i="14"/>
  <c r="Z56" i="14"/>
  <c r="AE55" i="14"/>
  <c r="AA56" i="14"/>
  <c r="Z60" i="14"/>
  <c r="Y60" i="14"/>
  <c r="Y58" i="14"/>
  <c r="AD57" i="14"/>
  <c r="Z55" i="14"/>
  <c r="Y59" i="14"/>
  <c r="AD55" i="14"/>
  <c r="AA60" i="14"/>
  <c r="AA58" i="14"/>
  <c r="AF60" i="14"/>
  <c r="G28" i="16"/>
  <c r="BF22" i="11"/>
  <c r="BH22" i="11" s="1"/>
  <c r="A44" i="13"/>
  <c r="C24" i="11" s="1"/>
  <c r="E34" i="4"/>
  <c r="G29" i="5"/>
  <c r="Z30" i="16"/>
  <c r="B19" i="11"/>
  <c r="F35" i="11" s="1"/>
  <c r="G30" i="16"/>
  <c r="A9" i="15"/>
  <c r="A10" i="15"/>
  <c r="G31" i="16"/>
  <c r="B20" i="11"/>
  <c r="F36" i="11" s="1"/>
  <c r="Z31" i="16"/>
  <c r="Z26" i="16"/>
  <c r="A5" i="15"/>
  <c r="G26" i="16"/>
  <c r="B15" i="11"/>
  <c r="F31" i="11" s="1"/>
  <c r="Z28" i="16"/>
  <c r="E26" i="4"/>
  <c r="F26" i="4" s="1"/>
  <c r="E31" i="4"/>
  <c r="A6" i="15"/>
  <c r="Z27" i="16"/>
  <c r="B16" i="11"/>
  <c r="F32" i="11" s="1"/>
  <c r="G27" i="16"/>
  <c r="E33" i="4"/>
  <c r="B14" i="11"/>
  <c r="F30" i="11" s="1"/>
  <c r="A14" i="11"/>
  <c r="G25" i="16"/>
  <c r="W38" i="11"/>
  <c r="A35" i="13"/>
  <c r="C15" i="11" s="1"/>
  <c r="G36" i="16"/>
  <c r="A15" i="15"/>
  <c r="Z36" i="16"/>
  <c r="B25" i="11"/>
  <c r="F41" i="11" s="1"/>
  <c r="G32" i="16"/>
  <c r="A11" i="15"/>
  <c r="B21" i="11"/>
  <c r="F37" i="11" s="1"/>
  <c r="AT18" i="11"/>
  <c r="BH21" i="11"/>
  <c r="AD60" i="14"/>
  <c r="AE56" i="14"/>
  <c r="J21" i="10"/>
  <c r="I22" i="10" s="1"/>
  <c r="AD56" i="14"/>
  <c r="AF55" i="14"/>
  <c r="AF57" i="14"/>
  <c r="BG17" i="11"/>
  <c r="BH17" i="11" s="1"/>
  <c r="A40" i="13"/>
  <c r="C20" i="11" s="1"/>
  <c r="AA59" i="14"/>
  <c r="Y55" i="14"/>
  <c r="AA57" i="14"/>
  <c r="Z59" i="14"/>
  <c r="AF58" i="14"/>
  <c r="AD59" i="14"/>
  <c r="Y57" i="14"/>
  <c r="Y56" i="14"/>
  <c r="AF59" i="14"/>
  <c r="AE58" i="14"/>
  <c r="AE57" i="14"/>
  <c r="AE60" i="14"/>
  <c r="AA55" i="14"/>
  <c r="Z57" i="14"/>
  <c r="C54" i="1"/>
  <c r="B14" i="16"/>
  <c r="E14" i="16" s="1"/>
  <c r="A38" i="13"/>
  <c r="C18" i="11" s="1"/>
  <c r="A42" i="13"/>
  <c r="C22" i="11" s="1"/>
  <c r="A43" i="13"/>
  <c r="C23" i="11" s="1"/>
  <c r="A36" i="13"/>
  <c r="C16" i="11" s="1"/>
  <c r="AL16" i="11"/>
  <c r="AK16" i="11"/>
  <c r="E47" i="18"/>
  <c r="E43" i="18"/>
  <c r="F43" i="18" s="1"/>
  <c r="E39" i="18"/>
  <c r="F39" i="18" s="1"/>
  <c r="E44" i="18"/>
  <c r="F44" i="18" s="1"/>
  <c r="E40" i="18"/>
  <c r="F40" i="18" s="1"/>
  <c r="E36" i="18"/>
  <c r="E45" i="18"/>
  <c r="E41" i="18"/>
  <c r="F41" i="18" s="1"/>
  <c r="E37" i="18"/>
  <c r="E42" i="18"/>
  <c r="F42" i="18" s="1"/>
  <c r="E46" i="18"/>
  <c r="F46" i="18" s="1"/>
  <c r="E38" i="18"/>
  <c r="F38" i="18" s="1"/>
  <c r="A61" i="18"/>
  <c r="X40" i="11"/>
  <c r="BG20" i="11"/>
  <c r="BF20" i="11"/>
  <c r="AS24" i="11"/>
  <c r="AR24" i="11"/>
  <c r="V42" i="11"/>
  <c r="AY19" i="11"/>
  <c r="AZ19" i="11"/>
  <c r="X44" i="11"/>
  <c r="J58" i="16"/>
  <c r="K62" i="16"/>
  <c r="AL20" i="11"/>
  <c r="AK20" i="11"/>
  <c r="F34" i="4"/>
  <c r="AR25" i="11"/>
  <c r="AS25" i="11"/>
  <c r="J28" i="16"/>
  <c r="E47" i="16" s="1"/>
  <c r="I42" i="16"/>
  <c r="N6" i="16"/>
  <c r="W43" i="11"/>
  <c r="BF19" i="11"/>
  <c r="BG19" i="11"/>
  <c r="BF23" i="11"/>
  <c r="BG23" i="11"/>
  <c r="AL19" i="11"/>
  <c r="AK19" i="11"/>
  <c r="X42" i="11"/>
  <c r="AZ17" i="11"/>
  <c r="AY17" i="11"/>
  <c r="AZ22" i="11"/>
  <c r="AY22" i="11"/>
  <c r="AL17" i="11"/>
  <c r="AK17" i="11"/>
  <c r="C8" i="5"/>
  <c r="C9" i="5" s="1"/>
  <c r="C10" i="5" s="1"/>
  <c r="B22" i="5"/>
  <c r="E21" i="4"/>
  <c r="E32" i="4"/>
  <c r="E35" i="4"/>
  <c r="E20" i="4"/>
  <c r="E29" i="4"/>
  <c r="E28" i="4"/>
  <c r="H26" i="5"/>
  <c r="K41" i="5" s="1"/>
  <c r="F25" i="5"/>
  <c r="H25" i="5" s="1"/>
  <c r="K40" i="5" s="1"/>
  <c r="F27" i="5"/>
  <c r="H27" i="5" s="1"/>
  <c r="K42" i="5" s="1"/>
  <c r="A64" i="18"/>
  <c r="F47" i="18"/>
  <c r="AH4" i="8"/>
  <c r="K18" i="16" s="1"/>
  <c r="Z4" i="8"/>
  <c r="Y2" i="11" s="1"/>
  <c r="S8" i="11" s="1"/>
  <c r="R4" i="8"/>
  <c r="Q2" i="11" s="1"/>
  <c r="Q7" i="11" s="1"/>
  <c r="J4" i="8"/>
  <c r="E2" i="9" s="1"/>
  <c r="A18" i="9" s="1"/>
  <c r="AE4" i="8"/>
  <c r="W4" i="8"/>
  <c r="V2" i="11" s="1"/>
  <c r="P8" i="11" s="1"/>
  <c r="O4" i="8"/>
  <c r="N2" i="11" s="1"/>
  <c r="U7" i="11" s="1"/>
  <c r="G4" i="8"/>
  <c r="B2" i="9" s="1"/>
  <c r="C10" i="9" s="1"/>
  <c r="AB4" i="8"/>
  <c r="T4" i="8"/>
  <c r="S2" i="11" s="1"/>
  <c r="S7" i="11" s="1"/>
  <c r="L4" i="8"/>
  <c r="L9" i="1" s="1"/>
  <c r="AC4" i="8"/>
  <c r="P4" i="8"/>
  <c r="O2" i="11" s="1"/>
  <c r="T7" i="11" s="1"/>
  <c r="V4" i="8"/>
  <c r="U2" i="11" s="1"/>
  <c r="T8" i="11" s="1"/>
  <c r="U4" i="8"/>
  <c r="T2" i="11" s="1"/>
  <c r="U8" i="11" s="1"/>
  <c r="F4" i="8"/>
  <c r="A2" i="9" s="1"/>
  <c r="A10" i="9" s="1"/>
  <c r="AA4" i="8"/>
  <c r="Z2" i="11" s="1"/>
  <c r="C11" i="11" s="1"/>
  <c r="N4" i="8"/>
  <c r="M9" i="1" s="1"/>
  <c r="AI4" i="8"/>
  <c r="AG4" i="8"/>
  <c r="K20" i="16" s="1"/>
  <c r="H4" i="8"/>
  <c r="C2" i="9" s="1"/>
  <c r="A14" i="9" s="1"/>
  <c r="Q4" i="8"/>
  <c r="P2" i="11" s="1"/>
  <c r="P7" i="11" s="1"/>
  <c r="Y4" i="8"/>
  <c r="X2" i="11" s="1"/>
  <c r="R8" i="11" s="1"/>
  <c r="M4" i="8"/>
  <c r="AF4" i="8"/>
  <c r="X4" i="8"/>
  <c r="W2" i="11" s="1"/>
  <c r="Q8" i="11" s="1"/>
  <c r="K4" i="8"/>
  <c r="F2" i="9" s="1"/>
  <c r="C18" i="9" s="1"/>
  <c r="I4" i="8"/>
  <c r="D2" i="9" s="1"/>
  <c r="C14" i="9" s="1"/>
  <c r="G13" i="1" s="1"/>
  <c r="S4" i="8"/>
  <c r="R2" i="11" s="1"/>
  <c r="R7" i="11" s="1"/>
  <c r="K60" i="14"/>
  <c r="J59" i="14"/>
  <c r="L57" i="14"/>
  <c r="K56" i="14"/>
  <c r="J55" i="14"/>
  <c r="L58" i="14"/>
  <c r="J56" i="14"/>
  <c r="K58" i="14"/>
  <c r="L60" i="14"/>
  <c r="J58" i="14"/>
  <c r="L55" i="14"/>
  <c r="J60" i="14"/>
  <c r="K55" i="14"/>
  <c r="K59" i="14"/>
  <c r="L56" i="14"/>
  <c r="K57" i="14"/>
  <c r="L59" i="14"/>
  <c r="J57" i="14"/>
  <c r="I47" i="16"/>
  <c r="N11" i="16"/>
  <c r="J33" i="16"/>
  <c r="E42" i="16" s="1"/>
  <c r="I43" i="16"/>
  <c r="J29" i="16"/>
  <c r="E46" i="16" s="1"/>
  <c r="N7" i="16"/>
  <c r="G19" i="4"/>
  <c r="I64" i="16"/>
  <c r="D66" i="16"/>
  <c r="AS19" i="11"/>
  <c r="AR19" i="11"/>
  <c r="AK24" i="11"/>
  <c r="AL24" i="11"/>
  <c r="X41" i="11"/>
  <c r="W35" i="11"/>
  <c r="AZ16" i="11"/>
  <c r="AY16" i="11"/>
  <c r="AS15" i="11"/>
  <c r="AR15" i="11"/>
  <c r="AL18" i="11"/>
  <c r="AK18" i="11"/>
  <c r="BF24" i="11"/>
  <c r="BG24" i="11"/>
  <c r="AZ23" i="11"/>
  <c r="AY23" i="11"/>
  <c r="F33" i="4"/>
  <c r="A58" i="18"/>
  <c r="AZ21" i="11"/>
  <c r="AY21" i="11"/>
  <c r="AK15" i="11"/>
  <c r="AL15" i="11"/>
  <c r="BG25" i="11"/>
  <c r="BF25" i="11"/>
  <c r="BG16" i="11"/>
  <c r="BF16" i="11"/>
  <c r="G44" i="18"/>
  <c r="H44" i="18" s="1"/>
  <c r="C44" i="18" s="1"/>
  <c r="G40" i="18"/>
  <c r="H40" i="18" s="1"/>
  <c r="C40" i="18" s="1"/>
  <c r="G36" i="18"/>
  <c r="H36" i="18" s="1"/>
  <c r="C36" i="18" s="1"/>
  <c r="G45" i="18"/>
  <c r="G41" i="18"/>
  <c r="H41" i="18" s="1"/>
  <c r="C41" i="18" s="1"/>
  <c r="G37" i="18"/>
  <c r="H37" i="18" s="1"/>
  <c r="C37" i="18" s="1"/>
  <c r="G46" i="18"/>
  <c r="H46" i="18" s="1"/>
  <c r="C46" i="18" s="1"/>
  <c r="G42" i="18"/>
  <c r="H42" i="18" s="1"/>
  <c r="C42" i="18" s="1"/>
  <c r="G38" i="18"/>
  <c r="H38" i="18" s="1"/>
  <c r="C38" i="18" s="1"/>
  <c r="G39" i="18"/>
  <c r="H39" i="18" s="1"/>
  <c r="C39" i="18" s="1"/>
  <c r="G43" i="18"/>
  <c r="H43" i="18" s="1"/>
  <c r="C43" i="18" s="1"/>
  <c r="G47" i="18"/>
  <c r="H47" i="18" s="1"/>
  <c r="C47" i="18" s="1"/>
  <c r="AK23" i="11"/>
  <c r="AL23" i="11"/>
  <c r="AS20" i="11"/>
  <c r="AR20" i="11"/>
  <c r="B29" i="5"/>
  <c r="B25" i="5"/>
  <c r="C25" i="5" s="1"/>
  <c r="K25" i="5" s="1"/>
  <c r="A60" i="18"/>
  <c r="AS17" i="11"/>
  <c r="AR17" i="11"/>
  <c r="AZ15" i="11"/>
  <c r="AY15" i="11"/>
  <c r="C27" i="5"/>
  <c r="K27" i="5" s="1"/>
  <c r="A62" i="18"/>
  <c r="H45" i="18"/>
  <c r="C45" i="18" s="1"/>
  <c r="F45" i="18"/>
  <c r="J59" i="16"/>
  <c r="J25" i="16"/>
  <c r="E50" i="16" s="1"/>
  <c r="I39" i="16"/>
  <c r="N3" i="16"/>
  <c r="AR22" i="11"/>
  <c r="AS22" i="11"/>
  <c r="AZ24" i="11"/>
  <c r="AY24" i="11"/>
  <c r="W44" i="11"/>
  <c r="X35" i="11"/>
  <c r="BG18" i="11"/>
  <c r="BF18" i="11"/>
  <c r="AK21" i="11"/>
  <c r="AL21" i="11"/>
  <c r="F8" i="11"/>
  <c r="C8" i="11"/>
  <c r="AY25" i="11"/>
  <c r="AZ25" i="11"/>
  <c r="E30" i="4"/>
  <c r="F36" i="18"/>
  <c r="A53" i="18"/>
  <c r="AZ18" i="11"/>
  <c r="AY18" i="11"/>
  <c r="V40" i="11"/>
  <c r="W39" i="11"/>
  <c r="V34" i="11"/>
  <c r="F27" i="4"/>
  <c r="V59" i="14"/>
  <c r="U58" i="14"/>
  <c r="T57" i="14"/>
  <c r="V55" i="14"/>
  <c r="U57" i="14"/>
  <c r="U59" i="14"/>
  <c r="T59" i="14"/>
  <c r="V56" i="14"/>
  <c r="U56" i="14"/>
  <c r="U60" i="14"/>
  <c r="T60" i="14"/>
  <c r="V57" i="14"/>
  <c r="V58" i="14"/>
  <c r="T56" i="14"/>
  <c r="T58" i="14"/>
  <c r="V60" i="14"/>
  <c r="U55" i="14"/>
  <c r="T55" i="14"/>
  <c r="AY20" i="11"/>
  <c r="AZ20" i="11"/>
  <c r="W40" i="11"/>
  <c r="X43" i="11"/>
  <c r="V43" i="11"/>
  <c r="X34" i="11"/>
  <c r="F31" i="4"/>
  <c r="A56" i="18"/>
  <c r="Z34" i="16"/>
  <c r="G34" i="16"/>
  <c r="A13" i="15"/>
  <c r="B23" i="11"/>
  <c r="F39" i="11" s="1"/>
  <c r="A54" i="18"/>
  <c r="F37" i="18"/>
  <c r="J35" i="16"/>
  <c r="E40" i="16" s="1"/>
  <c r="I49" i="16"/>
  <c r="N13" i="16"/>
  <c r="AL22" i="11"/>
  <c r="AK22" i="11"/>
  <c r="AS23" i="11"/>
  <c r="AR23" i="11"/>
  <c r="BG15" i="11"/>
  <c r="BF15" i="11"/>
  <c r="W34" i="11"/>
  <c r="W42" i="11"/>
  <c r="V36" i="11"/>
  <c r="X37" i="11"/>
  <c r="W37" i="11"/>
  <c r="V37" i="11"/>
  <c r="AR21" i="11"/>
  <c r="AS21" i="11"/>
  <c r="AS16" i="11"/>
  <c r="AR16" i="11"/>
  <c r="V39" i="11"/>
  <c r="AK25" i="11"/>
  <c r="AL25" i="11"/>
  <c r="B22" i="4"/>
  <c r="E19" i="4"/>
  <c r="G31" i="5"/>
  <c r="G33" i="5" s="1"/>
  <c r="G35" i="5" s="1"/>
  <c r="G37" i="5" s="1"/>
  <c r="G39" i="5" s="1"/>
  <c r="G41" i="5" s="1"/>
  <c r="G43" i="5" s="1"/>
  <c r="G45" i="5" s="1"/>
  <c r="G47" i="5" s="1"/>
  <c r="G49" i="5" s="1"/>
  <c r="G51" i="5" s="1"/>
  <c r="G53" i="5" s="1"/>
  <c r="H29" i="5"/>
  <c r="K44" i="5" s="1"/>
  <c r="C53" i="14" l="1"/>
  <c r="D52" i="14"/>
  <c r="D53" i="14"/>
  <c r="D54" i="14"/>
  <c r="C54" i="14"/>
  <c r="B53" i="14"/>
  <c r="C51" i="14"/>
  <c r="B54" i="14"/>
  <c r="C52" i="14"/>
  <c r="C50" i="14"/>
  <c r="B51" i="14"/>
  <c r="B52" i="14"/>
  <c r="D50" i="14"/>
  <c r="B50" i="14"/>
  <c r="D51" i="14"/>
  <c r="E18" i="9"/>
  <c r="D49" i="14"/>
  <c r="C49" i="14"/>
  <c r="B49" i="14"/>
  <c r="N5" i="16"/>
  <c r="J27" i="16"/>
  <c r="E48" i="16" s="1"/>
  <c r="I41" i="16"/>
  <c r="N4" i="16"/>
  <c r="I40" i="16"/>
  <c r="J26" i="16"/>
  <c r="E49" i="16" s="1"/>
  <c r="N8" i="16"/>
  <c r="J30" i="16"/>
  <c r="E45" i="16" s="1"/>
  <c r="I44" i="16"/>
  <c r="N10" i="16"/>
  <c r="J32" i="16"/>
  <c r="E43" i="16" s="1"/>
  <c r="I46" i="16"/>
  <c r="I50" i="16"/>
  <c r="N14" i="16"/>
  <c r="J36" i="16"/>
  <c r="E39" i="16" s="1"/>
  <c r="S14" i="11"/>
  <c r="A63" i="11"/>
  <c r="A33" i="11"/>
  <c r="I45" i="16"/>
  <c r="J31" i="16"/>
  <c r="E44" i="16" s="1"/>
  <c r="N9" i="16"/>
  <c r="E14" i="9"/>
  <c r="AM23" i="11"/>
  <c r="AM17" i="11"/>
  <c r="BH23" i="11"/>
  <c r="B13" i="16"/>
  <c r="E13" i="16" s="1"/>
  <c r="AT16" i="11"/>
  <c r="BA19" i="11"/>
  <c r="AM21" i="11"/>
  <c r="AM22" i="11"/>
  <c r="AT21" i="11"/>
  <c r="BA20" i="11"/>
  <c r="G27" i="4"/>
  <c r="I27" i="4" s="1"/>
  <c r="F8" i="4"/>
  <c r="F9" i="4" s="1"/>
  <c r="F10" i="4" s="1"/>
  <c r="E15" i="4" s="1"/>
  <c r="E22" i="4" s="1"/>
  <c r="B24" i="4"/>
  <c r="M24" i="4"/>
  <c r="AM19" i="11"/>
  <c r="F30" i="4"/>
  <c r="G30" i="4"/>
  <c r="BA23" i="11"/>
  <c r="F35" i="4"/>
  <c r="G35" i="4" s="1"/>
  <c r="I35" i="4" s="1"/>
  <c r="BA22" i="11"/>
  <c r="AM20" i="11"/>
  <c r="F29" i="4"/>
  <c r="G29" i="4" s="1"/>
  <c r="I29" i="4" s="1"/>
  <c r="BH16" i="11"/>
  <c r="AT19" i="11"/>
  <c r="AT23" i="11"/>
  <c r="BA18" i="11"/>
  <c r="BA24" i="11"/>
  <c r="BA16" i="11"/>
  <c r="M11" i="1"/>
  <c r="M10" i="1"/>
  <c r="L10" i="1"/>
  <c r="J12" i="1" s="1"/>
  <c r="L11" i="1"/>
  <c r="F32" i="4"/>
  <c r="G32" i="4" s="1"/>
  <c r="K63" i="16"/>
  <c r="AT22" i="11"/>
  <c r="BA15" i="11"/>
  <c r="AM15" i="11"/>
  <c r="BH24" i="11"/>
  <c r="K15" i="16"/>
  <c r="M8" i="1"/>
  <c r="E7" i="12"/>
  <c r="E10" i="12"/>
  <c r="E6" i="12"/>
  <c r="E5" i="12"/>
  <c r="E13" i="12"/>
  <c r="E8" i="12"/>
  <c r="E12" i="12"/>
  <c r="E9" i="12"/>
  <c r="BA17" i="11"/>
  <c r="BH19" i="11"/>
  <c r="AT24" i="11"/>
  <c r="AM16" i="11"/>
  <c r="BH15" i="11"/>
  <c r="I48" i="16"/>
  <c r="J34" i="16"/>
  <c r="E41" i="16" s="1"/>
  <c r="N12" i="16"/>
  <c r="B41" i="14"/>
  <c r="E10" i="8"/>
  <c r="J10" i="1" s="1"/>
  <c r="G10" i="8"/>
  <c r="H2" i="9" s="1"/>
  <c r="C22" i="9" s="1"/>
  <c r="G1" i="1"/>
  <c r="A6" i="1" s="1"/>
  <c r="F10" i="8"/>
  <c r="G2" i="9" s="1"/>
  <c r="A22" i="9" s="1"/>
  <c r="BH18" i="11"/>
  <c r="AT17" i="11"/>
  <c r="B31" i="5"/>
  <c r="B33" i="5" s="1"/>
  <c r="B35" i="5" s="1"/>
  <c r="B37" i="5" s="1"/>
  <c r="B39" i="5" s="1"/>
  <c r="B41" i="5" s="1"/>
  <c r="B43" i="5" s="1"/>
  <c r="B45" i="5" s="1"/>
  <c r="B47" i="5" s="1"/>
  <c r="B49" i="5" s="1"/>
  <c r="B51" i="5" s="1"/>
  <c r="B53" i="5" s="1"/>
  <c r="C29" i="5"/>
  <c r="K29" i="5" s="1"/>
  <c r="BH20" i="11"/>
  <c r="AT20" i="11"/>
  <c r="AT15" i="11"/>
  <c r="BA21" i="11"/>
  <c r="AM18" i="11"/>
  <c r="AM24" i="11"/>
  <c r="O8" i="11"/>
  <c r="B11" i="11" s="1"/>
  <c r="O7" i="11"/>
  <c r="H8" i="11" s="1"/>
  <c r="F28" i="4"/>
  <c r="G28" i="4" s="1"/>
  <c r="G26" i="4" l="1"/>
  <c r="AV14" i="11"/>
  <c r="W14" i="11"/>
  <c r="AQ14" i="11"/>
  <c r="X14" i="11"/>
  <c r="AW14" i="11"/>
  <c r="AP14" i="11"/>
  <c r="BE14" i="11"/>
  <c r="BC14" i="11"/>
  <c r="AJ14" i="11"/>
  <c r="AI14" i="11"/>
  <c r="S33" i="11"/>
  <c r="BD14" i="11"/>
  <c r="V14" i="11"/>
  <c r="AO14" i="11"/>
  <c r="AH14" i="11"/>
  <c r="AX14" i="11"/>
  <c r="L28" i="4"/>
  <c r="I28" i="4"/>
  <c r="L32" i="4"/>
  <c r="I32" i="4"/>
  <c r="L30" i="4"/>
  <c r="I30" i="4"/>
  <c r="K64" i="16"/>
  <c r="L64" i="16" s="1"/>
  <c r="G31" i="4"/>
  <c r="I31" i="4" s="1"/>
  <c r="G33" i="4"/>
  <c r="I33" i="4" s="1"/>
  <c r="G34" i="4"/>
  <c r="I26" i="4"/>
  <c r="L26" i="4"/>
  <c r="E1" i="18"/>
  <c r="B3" i="16"/>
  <c r="S8" i="10"/>
  <c r="R21" i="10" s="1"/>
  <c r="Q22" i="10" s="1"/>
  <c r="E4" i="3"/>
  <c r="E5" i="3" s="1"/>
  <c r="F4" i="3" s="1"/>
  <c r="L12" i="1"/>
  <c r="M12" i="1" s="1"/>
  <c r="R9" i="1"/>
  <c r="D24" i="4"/>
  <c r="K24" i="4"/>
  <c r="B26" i="4"/>
  <c r="C24" i="4"/>
  <c r="E24" i="4" s="1"/>
  <c r="B25" i="4"/>
  <c r="AL14" i="11" l="1"/>
  <c r="AK14" i="11"/>
  <c r="V33" i="11"/>
  <c r="W33" i="11"/>
  <c r="X33" i="11"/>
  <c r="AR14" i="11"/>
  <c r="AS14" i="11"/>
  <c r="AZ14" i="11"/>
  <c r="AY14" i="11"/>
  <c r="BG14" i="11"/>
  <c r="BF14" i="11"/>
  <c r="B27" i="4"/>
  <c r="B29" i="4" s="1"/>
  <c r="B31" i="4" s="1"/>
  <c r="B33" i="4" s="1"/>
  <c r="B35" i="4" s="1"/>
  <c r="B37" i="4" s="1"/>
  <c r="B39" i="4" s="1"/>
  <c r="B41" i="4" s="1"/>
  <c r="B43" i="4" s="1"/>
  <c r="B45" i="4" s="1"/>
  <c r="B47" i="4" s="1"/>
  <c r="B49" i="4" s="1"/>
  <c r="B51" i="4" s="1"/>
  <c r="C25" i="4"/>
  <c r="E25" i="4" s="1"/>
  <c r="I34" i="4"/>
  <c r="L34" i="4"/>
  <c r="K26" i="4"/>
  <c r="B28" i="4"/>
  <c r="H49" i="14"/>
  <c r="H48" i="14" s="1"/>
  <c r="F48" i="14" s="1"/>
  <c r="A8" i="11"/>
  <c r="G32" i="10"/>
  <c r="B22" i="9"/>
  <c r="J15" i="1"/>
  <c r="C59" i="1"/>
  <c r="C60" i="1" s="1"/>
  <c r="C62" i="1"/>
  <c r="C63" i="1" s="1"/>
  <c r="H17" i="1" s="1"/>
  <c r="F24" i="4"/>
  <c r="N24" i="4" s="1"/>
  <c r="E22" i="9" l="1"/>
  <c r="J11" i="1" s="1"/>
  <c r="K15" i="1"/>
  <c r="B1" i="15" s="1"/>
  <c r="C1" i="15" s="1"/>
  <c r="B4" i="15" s="1"/>
  <c r="BA14" i="11"/>
  <c r="BA27" i="11" s="1"/>
  <c r="BA28" i="11" s="1"/>
  <c r="AK6" i="11" s="1"/>
  <c r="AT14" i="11"/>
  <c r="AT27" i="11" s="1"/>
  <c r="AT28" i="11" s="1"/>
  <c r="AK5" i="11" s="1"/>
  <c r="BH14" i="11"/>
  <c r="BH27" i="11" s="1"/>
  <c r="BH28" i="11" s="1"/>
  <c r="AK7" i="11" s="1"/>
  <c r="AM14" i="11"/>
  <c r="AM27" i="11" s="1"/>
  <c r="AM28" i="11" s="1"/>
  <c r="AK4" i="11" s="1"/>
  <c r="K37" i="10"/>
  <c r="J46" i="10" s="1"/>
  <c r="I47" i="10" s="1"/>
  <c r="D61" i="1"/>
  <c r="D64" i="1"/>
  <c r="F60" i="1" s="1"/>
  <c r="O10" i="1" s="1"/>
  <c r="G8" i="10"/>
  <c r="F21" i="10" s="1"/>
  <c r="E22" i="10" s="1"/>
  <c r="R10" i="1"/>
  <c r="K10" i="12"/>
  <c r="K13" i="12"/>
  <c r="K9" i="12"/>
  <c r="K12" i="12"/>
  <c r="E8" i="11"/>
  <c r="K11" i="12"/>
  <c r="F51" i="14"/>
  <c r="F52" i="14"/>
  <c r="F49" i="14"/>
  <c r="F53" i="14"/>
  <c r="F54" i="14"/>
  <c r="G48" i="14"/>
  <c r="F50" i="14"/>
  <c r="G24" i="4"/>
  <c r="I15" i="1"/>
  <c r="B4" i="16" s="1"/>
  <c r="H16" i="16" s="1"/>
  <c r="B2" i="17" s="1"/>
  <c r="G17" i="1"/>
  <c r="I17" i="1" s="1"/>
  <c r="F25" i="4"/>
  <c r="G25" i="4" s="1"/>
  <c r="I25" i="4" s="1"/>
  <c r="B30" i="4"/>
  <c r="K28" i="4"/>
  <c r="B7" i="15" l="1"/>
  <c r="B15" i="15"/>
  <c r="B9" i="15"/>
  <c r="B12" i="15"/>
  <c r="B10" i="15"/>
  <c r="B11" i="15"/>
  <c r="B8" i="15"/>
  <c r="B6" i="15"/>
  <c r="B14" i="15"/>
  <c r="B5" i="15"/>
  <c r="B13" i="15"/>
  <c r="G30" i="10"/>
  <c r="F46" i="10" s="1"/>
  <c r="E47" i="10" s="1"/>
  <c r="B10" i="9"/>
  <c r="C5" i="10"/>
  <c r="C61" i="1"/>
  <c r="O14" i="1"/>
  <c r="C64" i="1"/>
  <c r="O13" i="1" s="1"/>
  <c r="L24" i="4"/>
  <c r="H24" i="4"/>
  <c r="I24" i="4"/>
  <c r="G52" i="14"/>
  <c r="G49" i="14"/>
  <c r="G53" i="14"/>
  <c r="G50" i="14"/>
  <c r="G51" i="14"/>
  <c r="G54" i="14"/>
  <c r="B32" i="4"/>
  <c r="K30" i="4"/>
  <c r="C32" i="10"/>
  <c r="I18" i="1"/>
  <c r="H18" i="1"/>
  <c r="C6" i="10"/>
  <c r="D2" i="17"/>
  <c r="E2" i="17" s="1"/>
  <c r="F2" i="17" s="1"/>
  <c r="G2" i="17" s="1"/>
  <c r="H2" i="17" s="1"/>
  <c r="I16" i="16" s="1"/>
  <c r="J16" i="16" s="1"/>
  <c r="B16" i="16" s="1"/>
  <c r="G8" i="11"/>
  <c r="I8" i="11" s="1"/>
  <c r="E10" i="9" l="1"/>
  <c r="G16" i="1" s="1"/>
  <c r="H54" i="14"/>
  <c r="F37" i="14" s="1"/>
  <c r="F39" i="14" s="1"/>
  <c r="B25" i="14" s="1"/>
  <c r="D25" i="14" s="1"/>
  <c r="D25" i="11" s="1"/>
  <c r="C14" i="6" s="1"/>
  <c r="H51" i="14"/>
  <c r="C37" i="14" s="1"/>
  <c r="Q17" i="14" s="1"/>
  <c r="H50" i="14"/>
  <c r="B37" i="14" s="1"/>
  <c r="B39" i="14" s="1"/>
  <c r="H53" i="14"/>
  <c r="E37" i="14" s="1"/>
  <c r="S17" i="14" s="1"/>
  <c r="H52" i="14"/>
  <c r="D37" i="14" s="1"/>
  <c r="R17" i="14" s="1"/>
  <c r="C31" i="10"/>
  <c r="B46" i="10" s="1"/>
  <c r="A47" i="10" s="1"/>
  <c r="A48" i="10" s="1"/>
  <c r="AD28" i="8" s="1"/>
  <c r="B2" i="18"/>
  <c r="C16" i="16"/>
  <c r="D16" i="16"/>
  <c r="H17" i="16"/>
  <c r="B3" i="17" s="1"/>
  <c r="H18" i="16"/>
  <c r="B4" i="17" s="1"/>
  <c r="G6" i="1"/>
  <c r="B34" i="4"/>
  <c r="K32" i="4"/>
  <c r="B21" i="10"/>
  <c r="A22" i="10" s="1"/>
  <c r="A23" i="10" s="1"/>
  <c r="C39" i="14" l="1"/>
  <c r="B17" i="14" s="1"/>
  <c r="P17" i="14"/>
  <c r="D39" i="14"/>
  <c r="B21" i="14" s="1"/>
  <c r="E39" i="14"/>
  <c r="D24" i="14" s="1"/>
  <c r="D24" i="11" s="1"/>
  <c r="AD27" i="8"/>
  <c r="AD26" i="8"/>
  <c r="AD25" i="8"/>
  <c r="AD24" i="8"/>
  <c r="AD23" i="8"/>
  <c r="AD4" i="8" s="1"/>
  <c r="B15" i="14"/>
  <c r="B14" i="14" s="1"/>
  <c r="D14" i="14" s="1"/>
  <c r="D14" i="11" s="1"/>
  <c r="D15" i="14"/>
  <c r="D3" i="17"/>
  <c r="E3" i="17" s="1"/>
  <c r="F3" i="17" s="1"/>
  <c r="G3" i="17" s="1"/>
  <c r="H3" i="17" s="1"/>
  <c r="I17" i="16" s="1"/>
  <c r="J17" i="16" s="1"/>
  <c r="B17" i="16" s="1"/>
  <c r="B36" i="4"/>
  <c r="B38" i="4" s="1"/>
  <c r="B40" i="4" s="1"/>
  <c r="B42" i="4" s="1"/>
  <c r="B44" i="4" s="1"/>
  <c r="B46" i="4" s="1"/>
  <c r="B48" i="4" s="1"/>
  <c r="B50" i="4" s="1"/>
  <c r="K34" i="4"/>
  <c r="D4" i="17"/>
  <c r="E4" i="17" s="1"/>
  <c r="F4" i="17" s="1"/>
  <c r="G4" i="17" s="1"/>
  <c r="H4" i="17" s="1"/>
  <c r="I18" i="16" s="1"/>
  <c r="M18" i="16" l="1"/>
  <c r="J18" i="16"/>
  <c r="B18" i="16" s="1"/>
  <c r="D17" i="14"/>
  <c r="D16" i="14" s="1"/>
  <c r="D16" i="11" s="1"/>
  <c r="D21" i="14"/>
  <c r="D21" i="11" s="1"/>
  <c r="B24" i="14"/>
  <c r="B3" i="18"/>
  <c r="D17" i="16"/>
  <c r="C17" i="16"/>
  <c r="I6" i="1"/>
  <c r="H19" i="16"/>
  <c r="B5" i="17" s="1"/>
  <c r="R5" i="16"/>
  <c r="R14" i="16"/>
  <c r="R10" i="16"/>
  <c r="R3" i="16"/>
  <c r="R9" i="16"/>
  <c r="R13" i="16"/>
  <c r="R12" i="16"/>
  <c r="R8" i="16"/>
  <c r="R6" i="16"/>
  <c r="R4" i="16"/>
  <c r="R11" i="16"/>
  <c r="R7" i="16"/>
  <c r="D15" i="11"/>
  <c r="C13" i="6"/>
  <c r="C3" i="6"/>
  <c r="K6" i="1" l="1"/>
  <c r="C18" i="16"/>
  <c r="B4" i="18"/>
  <c r="H20" i="16"/>
  <c r="B6" i="17" s="1"/>
  <c r="D6" i="17" s="1"/>
  <c r="E6" i="17" s="1"/>
  <c r="F6" i="17" s="1"/>
  <c r="G6" i="17" s="1"/>
  <c r="H6" i="17" s="1"/>
  <c r="I20" i="16" s="1"/>
  <c r="D18" i="16"/>
  <c r="D23" i="14"/>
  <c r="D23" i="11" s="1"/>
  <c r="C12" i="6" s="1"/>
  <c r="D20" i="14"/>
  <c r="D20" i="11" s="1"/>
  <c r="C9" i="6" s="1"/>
  <c r="D17" i="11"/>
  <c r="C6" i="6" s="1"/>
  <c r="D19" i="14"/>
  <c r="D19" i="11" s="1"/>
  <c r="C8" i="6" s="1"/>
  <c r="D22" i="14"/>
  <c r="D22" i="11" s="1"/>
  <c r="C11" i="6" s="1"/>
  <c r="D18" i="14"/>
  <c r="D18" i="11" s="1"/>
  <c r="C7" i="6" s="1"/>
  <c r="C10" i="6"/>
  <c r="C4" i="6"/>
  <c r="N35" i="16"/>
  <c r="N30" i="16"/>
  <c r="N31" i="16"/>
  <c r="N34" i="16"/>
  <c r="N25" i="16"/>
  <c r="N27" i="16"/>
  <c r="N33" i="16"/>
  <c r="N32" i="16"/>
  <c r="N26" i="16"/>
  <c r="N29" i="16"/>
  <c r="N28" i="16"/>
  <c r="N36" i="16"/>
  <c r="D5" i="17"/>
  <c r="E5" i="17" s="1"/>
  <c r="F5" i="17" s="1"/>
  <c r="G5" i="17" s="1"/>
  <c r="H5" i="17" s="1"/>
  <c r="I19" i="16" s="1"/>
  <c r="J19" i="16" s="1"/>
  <c r="B19" i="16" s="1"/>
  <c r="C5" i="6"/>
  <c r="I21" i="18"/>
  <c r="I17" i="18"/>
  <c r="I13" i="18"/>
  <c r="I19" i="18"/>
  <c r="I14" i="18"/>
  <c r="I18" i="18"/>
  <c r="I22" i="18"/>
  <c r="I12" i="18"/>
  <c r="I16" i="18"/>
  <c r="I20" i="18"/>
  <c r="I15" i="18"/>
  <c r="I11" i="18"/>
  <c r="P14" i="18"/>
  <c r="AB22" i="18"/>
  <c r="L42" i="18"/>
  <c r="AB16" i="18"/>
  <c r="L41" i="18"/>
  <c r="AB18" i="18"/>
  <c r="AB15" i="18"/>
  <c r="L47" i="18"/>
  <c r="P12" i="18"/>
  <c r="P19" i="18"/>
  <c r="AB21" i="18"/>
  <c r="L36" i="18"/>
  <c r="P16" i="18"/>
  <c r="P15" i="18"/>
  <c r="AB20" i="18"/>
  <c r="L37" i="18"/>
  <c r="AB17" i="18"/>
  <c r="L40" i="18"/>
  <c r="L39" i="18"/>
  <c r="P21" i="18"/>
  <c r="P22" i="18"/>
  <c r="L46" i="18"/>
  <c r="P17" i="18"/>
  <c r="AB11" i="18"/>
  <c r="AB12" i="18"/>
  <c r="P18" i="18"/>
  <c r="L38" i="18"/>
  <c r="P20" i="18"/>
  <c r="L44" i="18"/>
  <c r="AB19" i="18"/>
  <c r="L45" i="18"/>
  <c r="P11" i="18"/>
  <c r="P13" i="18"/>
  <c r="AB13" i="18"/>
  <c r="AB14" i="18"/>
  <c r="L43" i="18"/>
  <c r="M20" i="16" l="1"/>
  <c r="J20" i="16"/>
  <c r="B20" i="16" s="1"/>
  <c r="AF16" i="18"/>
  <c r="AF17" i="18"/>
  <c r="AF11" i="18"/>
  <c r="AF20" i="18"/>
  <c r="AF22" i="18"/>
  <c r="AF21" i="18"/>
  <c r="AF12" i="18"/>
  <c r="AF15" i="18"/>
  <c r="AF13" i="18"/>
  <c r="AF18" i="18"/>
  <c r="AF19" i="18"/>
  <c r="AF14" i="18"/>
  <c r="B5" i="18"/>
  <c r="L36" i="16"/>
  <c r="L35" i="16"/>
  <c r="L33" i="16"/>
  <c r="L32" i="16"/>
  <c r="L31" i="16"/>
  <c r="L30" i="16"/>
  <c r="L29" i="16"/>
  <c r="L28" i="16"/>
  <c r="L27" i="16"/>
  <c r="L26" i="16"/>
  <c r="L25" i="16"/>
  <c r="L34" i="16"/>
  <c r="D19" i="16"/>
  <c r="P5" i="16"/>
  <c r="H6" i="1"/>
  <c r="P14" i="16"/>
  <c r="P8" i="16"/>
  <c r="P4" i="16"/>
  <c r="P10" i="16"/>
  <c r="P9" i="16"/>
  <c r="P3" i="16"/>
  <c r="P11" i="16"/>
  <c r="P7" i="16"/>
  <c r="P6" i="16"/>
  <c r="P13" i="16"/>
  <c r="P12" i="16"/>
  <c r="Q12" i="16"/>
  <c r="Q11" i="16"/>
  <c r="M36" i="16"/>
  <c r="M32" i="16"/>
  <c r="M28" i="16"/>
  <c r="Q5" i="16"/>
  <c r="M25" i="16"/>
  <c r="Q9" i="16"/>
  <c r="M33" i="16"/>
  <c r="O33" i="16" s="1"/>
  <c r="Q4" i="16"/>
  <c r="M31" i="16"/>
  <c r="O31" i="16" s="1"/>
  <c r="Q10" i="16"/>
  <c r="M26" i="16"/>
  <c r="Q8" i="16"/>
  <c r="Q3" i="16"/>
  <c r="Q6" i="16"/>
  <c r="M35" i="16"/>
  <c r="Q14" i="16"/>
  <c r="M30" i="16"/>
  <c r="M34" i="16"/>
  <c r="Q13" i="16"/>
  <c r="M27" i="16"/>
  <c r="M29" i="16"/>
  <c r="Q7" i="16"/>
  <c r="B6" i="18" l="1"/>
  <c r="E6" i="18" s="1"/>
  <c r="D20" i="16"/>
  <c r="J6" i="1"/>
  <c r="O27" i="16"/>
  <c r="S27" i="16" s="1"/>
  <c r="S8" i="16"/>
  <c r="O35" i="16"/>
  <c r="S35" i="16" s="1"/>
  <c r="S12" i="16"/>
  <c r="O36" i="16"/>
  <c r="R36" i="16" s="1"/>
  <c r="S14" i="16"/>
  <c r="T3" i="16"/>
  <c r="S6" i="16"/>
  <c r="S4" i="16"/>
  <c r="S11" i="16"/>
  <c r="T9" i="16"/>
  <c r="P34" i="16"/>
  <c r="T34" i="16" s="1"/>
  <c r="P32" i="16"/>
  <c r="T32" i="16" s="1"/>
  <c r="T10" i="16"/>
  <c r="S7" i="16"/>
  <c r="P26" i="16"/>
  <c r="Q26" i="16" s="1"/>
  <c r="O29" i="16"/>
  <c r="R29" i="16" s="1"/>
  <c r="O25" i="16"/>
  <c r="S25" i="16" s="1"/>
  <c r="T13" i="16"/>
  <c r="O30" i="16"/>
  <c r="R30" i="16" s="1"/>
  <c r="S5" i="16"/>
  <c r="P28" i="16"/>
  <c r="T28" i="16" s="1"/>
  <c r="P25" i="16"/>
  <c r="P33" i="16"/>
  <c r="S9" i="16"/>
  <c r="T4" i="16"/>
  <c r="S3" i="16"/>
  <c r="T8" i="16"/>
  <c r="P27" i="16"/>
  <c r="P36" i="16"/>
  <c r="S33" i="16"/>
  <c r="R33" i="16"/>
  <c r="T7" i="16"/>
  <c r="P29" i="16"/>
  <c r="S31" i="16"/>
  <c r="R31" i="16"/>
  <c r="P31" i="16"/>
  <c r="T12" i="16"/>
  <c r="P35" i="16"/>
  <c r="T6" i="16"/>
  <c r="T14" i="16"/>
  <c r="E5" i="18"/>
  <c r="Z13" i="18"/>
  <c r="Z19" i="18"/>
  <c r="J41" i="18"/>
  <c r="K42" i="18"/>
  <c r="AA18" i="18"/>
  <c r="AA15" i="18"/>
  <c r="K41" i="18"/>
  <c r="AA17" i="18"/>
  <c r="AA16" i="18"/>
  <c r="J43" i="18"/>
  <c r="K38" i="18"/>
  <c r="K47" i="18"/>
  <c r="J45" i="18"/>
  <c r="Q14" i="18"/>
  <c r="Q13" i="18"/>
  <c r="J39" i="18"/>
  <c r="K37" i="18"/>
  <c r="AA12" i="18"/>
  <c r="Q16" i="18"/>
  <c r="J37" i="18"/>
  <c r="Z11" i="18"/>
  <c r="Z22" i="18"/>
  <c r="Z21" i="18"/>
  <c r="J36" i="18"/>
  <c r="Q20" i="18"/>
  <c r="AA20" i="18"/>
  <c r="Q15" i="18"/>
  <c r="K36" i="18"/>
  <c r="AA13" i="18"/>
  <c r="J40" i="18"/>
  <c r="K43" i="18"/>
  <c r="Q12" i="18"/>
  <c r="AA14" i="18"/>
  <c r="J42" i="18"/>
  <c r="AA11" i="18"/>
  <c r="Z17" i="18"/>
  <c r="Q22" i="18"/>
  <c r="Z18" i="18"/>
  <c r="AA22" i="18"/>
  <c r="Z12" i="18"/>
  <c r="Q11" i="18"/>
  <c r="AA19" i="18"/>
  <c r="J38" i="18"/>
  <c r="Z20" i="18"/>
  <c r="J44" i="18"/>
  <c r="AA21" i="18"/>
  <c r="Q21" i="18"/>
  <c r="Z16" i="18"/>
  <c r="K39" i="18"/>
  <c r="Z15" i="18"/>
  <c r="J47" i="18"/>
  <c r="K44" i="18"/>
  <c r="Q18" i="18"/>
  <c r="Q19" i="18"/>
  <c r="K40" i="18"/>
  <c r="K46" i="18"/>
  <c r="J46" i="18"/>
  <c r="Q17" i="18"/>
  <c r="Z14" i="18"/>
  <c r="K45" i="18"/>
  <c r="S13" i="16"/>
  <c r="O26" i="16"/>
  <c r="O28" i="16"/>
  <c r="O34" i="16"/>
  <c r="S10" i="16"/>
  <c r="O32" i="16"/>
  <c r="T11" i="16"/>
  <c r="T5" i="16"/>
  <c r="P30" i="16"/>
  <c r="R14" i="18" l="1"/>
  <c r="S13" i="18"/>
  <c r="R19" i="18"/>
  <c r="K11" i="18"/>
  <c r="K14" i="18"/>
  <c r="L20" i="18"/>
  <c r="S11" i="18"/>
  <c r="R17" i="18"/>
  <c r="L14" i="18"/>
  <c r="M14" i="18" s="1"/>
  <c r="R21" i="18"/>
  <c r="S22" i="18"/>
  <c r="S17" i="18"/>
  <c r="L17" i="18"/>
  <c r="S20" i="18"/>
  <c r="R22" i="18"/>
  <c r="R20" i="18"/>
  <c r="L21" i="18"/>
  <c r="L12" i="18"/>
  <c r="R13" i="18"/>
  <c r="K13" i="18"/>
  <c r="L13" i="18"/>
  <c r="R16" i="18"/>
  <c r="K22" i="18"/>
  <c r="L11" i="18"/>
  <c r="M11" i="18" s="1"/>
  <c r="K15" i="18"/>
  <c r="L22" i="18"/>
  <c r="S14" i="18"/>
  <c r="R11" i="18"/>
  <c r="K17" i="18"/>
  <c r="N17" i="18" s="1"/>
  <c r="L15" i="18"/>
  <c r="L18" i="18"/>
  <c r="K16" i="18"/>
  <c r="S15" i="18"/>
  <c r="L19" i="18"/>
  <c r="K21" i="18"/>
  <c r="L16" i="18"/>
  <c r="R12" i="18"/>
  <c r="R15" i="18"/>
  <c r="R18" i="18"/>
  <c r="S19" i="18"/>
  <c r="S18" i="18"/>
  <c r="K20" i="18"/>
  <c r="M20" i="18" s="1"/>
  <c r="K19" i="18"/>
  <c r="K18" i="18"/>
  <c r="S12" i="18"/>
  <c r="T12" i="18" s="1"/>
  <c r="S21" i="18"/>
  <c r="T21" i="18" s="1"/>
  <c r="K12" i="18"/>
  <c r="S16" i="18"/>
  <c r="R27" i="16"/>
  <c r="R35" i="16"/>
  <c r="S36" i="16"/>
  <c r="Q28" i="16"/>
  <c r="R25" i="16"/>
  <c r="N38" i="18"/>
  <c r="M43" i="18"/>
  <c r="N36" i="18"/>
  <c r="Q32" i="16"/>
  <c r="M45" i="18"/>
  <c r="AC18" i="18"/>
  <c r="AG18" i="18" s="1"/>
  <c r="AC11" i="18"/>
  <c r="AG11" i="18" s="1"/>
  <c r="AC13" i="18"/>
  <c r="AG13" i="18" s="1"/>
  <c r="Q34" i="16"/>
  <c r="S30" i="16"/>
  <c r="S29" i="16"/>
  <c r="M40" i="18"/>
  <c r="M39" i="18"/>
  <c r="AD20" i="18"/>
  <c r="AH20" i="18" s="1"/>
  <c r="M47" i="18"/>
  <c r="AC17" i="18"/>
  <c r="AG17" i="18" s="1"/>
  <c r="M42" i="18"/>
  <c r="AD14" i="18"/>
  <c r="AH14" i="18" s="1"/>
  <c r="AD16" i="18"/>
  <c r="AH16" i="18" s="1"/>
  <c r="M41" i="18"/>
  <c r="AD21" i="18"/>
  <c r="AH21" i="18" s="1"/>
  <c r="AD22" i="18"/>
  <c r="AH22" i="18" s="1"/>
  <c r="AC12" i="18"/>
  <c r="AG12" i="18" s="1"/>
  <c r="AC15" i="18"/>
  <c r="AG15" i="18" s="1"/>
  <c r="AD19" i="18"/>
  <c r="AH19" i="18" s="1"/>
  <c r="T26" i="16"/>
  <c r="N46" i="18"/>
  <c r="M44" i="18"/>
  <c r="M37" i="18"/>
  <c r="S28" i="16"/>
  <c r="R28" i="16"/>
  <c r="S26" i="16"/>
  <c r="R26" i="16"/>
  <c r="AD12" i="18"/>
  <c r="AH12" i="18" s="1"/>
  <c r="AD17" i="18"/>
  <c r="AH17" i="18" s="1"/>
  <c r="N40" i="18"/>
  <c r="N41" i="18"/>
  <c r="T30" i="16"/>
  <c r="Q30" i="16"/>
  <c r="N45" i="18"/>
  <c r="M38" i="18"/>
  <c r="AC22" i="18"/>
  <c r="AG22" i="18" s="1"/>
  <c r="N42" i="18"/>
  <c r="M36" i="18"/>
  <c r="AD11" i="18"/>
  <c r="AH11" i="18" s="1"/>
  <c r="N43" i="18"/>
  <c r="AD13" i="18"/>
  <c r="AH13" i="18" s="1"/>
  <c r="T29" i="16"/>
  <c r="Q29" i="16"/>
  <c r="T36" i="16"/>
  <c r="Q36" i="16"/>
  <c r="S34" i="16"/>
  <c r="R34" i="16"/>
  <c r="T31" i="16"/>
  <c r="Q31" i="16"/>
  <c r="N47" i="18"/>
  <c r="T27" i="16"/>
  <c r="Q27" i="16"/>
  <c r="S32" i="16"/>
  <c r="R32" i="16"/>
  <c r="M46" i="18"/>
  <c r="AD15" i="18"/>
  <c r="AH15" i="18" s="1"/>
  <c r="AC21" i="18"/>
  <c r="AG21" i="18" s="1"/>
  <c r="AC19" i="18"/>
  <c r="AG19" i="18" s="1"/>
  <c r="AD18" i="18"/>
  <c r="AH18" i="18" s="1"/>
  <c r="AC14" i="18"/>
  <c r="AG14" i="18" s="1"/>
  <c r="AC20" i="18"/>
  <c r="AG20" i="18" s="1"/>
  <c r="AC16" i="18"/>
  <c r="AG16" i="18" s="1"/>
  <c r="T33" i="16"/>
  <c r="Q33" i="16"/>
  <c r="N39" i="18"/>
  <c r="N44" i="18"/>
  <c r="N37" i="18"/>
  <c r="T35" i="16"/>
  <c r="Q35" i="16"/>
  <c r="T25" i="16"/>
  <c r="Q25" i="16"/>
  <c r="T14" i="18" l="1"/>
  <c r="U14" i="18"/>
  <c r="U22" i="18"/>
  <c r="T13" i="18"/>
  <c r="N14" i="18"/>
  <c r="E14" i="18" s="1"/>
  <c r="U19" i="18"/>
  <c r="T22" i="18"/>
  <c r="U17" i="18"/>
  <c r="T17" i="18"/>
  <c r="N20" i="18"/>
  <c r="E20" i="18" s="1"/>
  <c r="N12" i="18"/>
  <c r="B53" i="18" s="1"/>
  <c r="N21" i="18"/>
  <c r="B62" i="18" s="1"/>
  <c r="M21" i="18"/>
  <c r="M12" i="18"/>
  <c r="U11" i="18"/>
  <c r="U20" i="18"/>
  <c r="T11" i="18"/>
  <c r="N11" i="18"/>
  <c r="E11" i="18" s="1"/>
  <c r="T20" i="18"/>
  <c r="M15" i="18"/>
  <c r="U16" i="18"/>
  <c r="M19" i="18"/>
  <c r="B61" i="18" s="1"/>
  <c r="U12" i="18"/>
  <c r="M17" i="18"/>
  <c r="E17" i="18" s="1"/>
  <c r="U15" i="18"/>
  <c r="N15" i="18"/>
  <c r="B56" i="18" s="1"/>
  <c r="T18" i="18"/>
  <c r="N22" i="18"/>
  <c r="M22" i="18"/>
  <c r="B64" i="18" s="1"/>
  <c r="U13" i="18"/>
  <c r="N18" i="18"/>
  <c r="M16" i="18"/>
  <c r="B58" i="18" s="1"/>
  <c r="M13" i="18"/>
  <c r="U21" i="18"/>
  <c r="T15" i="18"/>
  <c r="N16" i="18"/>
  <c r="M18" i="18"/>
  <c r="N13" i="18"/>
  <c r="U18" i="18"/>
  <c r="T19" i="18"/>
  <c r="N19" i="18"/>
  <c r="O38" i="18"/>
  <c r="B38" i="18" s="1"/>
  <c r="Q38" i="18" s="1"/>
  <c r="T16" i="18"/>
  <c r="AJ12" i="18"/>
  <c r="AO12" i="18" s="1"/>
  <c r="O41" i="18"/>
  <c r="B41" i="18" s="1"/>
  <c r="Q41" i="18" s="1"/>
  <c r="O36" i="18"/>
  <c r="B36" i="18" s="1"/>
  <c r="Q36" i="18" s="1"/>
  <c r="O37" i="18"/>
  <c r="B37" i="18" s="1"/>
  <c r="Q37" i="18" s="1"/>
  <c r="AI13" i="18"/>
  <c r="AL13" i="18" s="1"/>
  <c r="O43" i="18"/>
  <c r="B43" i="18" s="1"/>
  <c r="Q43" i="18" s="1"/>
  <c r="O40" i="18"/>
  <c r="B40" i="18" s="1"/>
  <c r="Q40" i="18" s="1"/>
  <c r="O44" i="18"/>
  <c r="B44" i="18" s="1"/>
  <c r="Q44" i="18" s="1"/>
  <c r="AI11" i="18"/>
  <c r="U3" i="16" s="1"/>
  <c r="O42" i="18"/>
  <c r="B42" i="18" s="1"/>
  <c r="Q42" i="18" s="1"/>
  <c r="V30" i="16"/>
  <c r="X30" i="16" s="1"/>
  <c r="AJ18" i="18"/>
  <c r="AO18" i="18" s="1"/>
  <c r="V28" i="16"/>
  <c r="X28" i="16" s="1"/>
  <c r="U25" i="16"/>
  <c r="W25" i="16" s="1"/>
  <c r="O39" i="18"/>
  <c r="B39" i="18" s="1"/>
  <c r="Q39" i="18" s="1"/>
  <c r="O47" i="18"/>
  <c r="B47" i="18" s="1"/>
  <c r="Q47" i="18" s="1"/>
  <c r="U33" i="16"/>
  <c r="W33" i="16" s="1"/>
  <c r="O45" i="18"/>
  <c r="B45" i="18" s="1"/>
  <c r="Q45" i="18" s="1"/>
  <c r="AI12" i="18"/>
  <c r="AI17" i="18"/>
  <c r="U9" i="16" s="1"/>
  <c r="AI18" i="18"/>
  <c r="AN18" i="18" s="1"/>
  <c r="U36" i="16"/>
  <c r="W36" i="16" s="1"/>
  <c r="U31" i="16"/>
  <c r="W31" i="16" s="1"/>
  <c r="U26" i="16"/>
  <c r="W26" i="16" s="1"/>
  <c r="AJ15" i="18"/>
  <c r="AO15" i="18" s="1"/>
  <c r="U34" i="16"/>
  <c r="W34" i="16" s="1"/>
  <c r="AJ11" i="18"/>
  <c r="AM11" i="18" s="1"/>
  <c r="W11" i="18" s="1"/>
  <c r="O46" i="18"/>
  <c r="B46" i="18" s="1"/>
  <c r="Q46" i="18" s="1"/>
  <c r="U29" i="16"/>
  <c r="W29" i="16" s="1"/>
  <c r="V36" i="16"/>
  <c r="X36" i="16" s="1"/>
  <c r="AJ17" i="18"/>
  <c r="V9" i="16" s="1"/>
  <c r="U28" i="16"/>
  <c r="W28" i="16" s="1"/>
  <c r="U35" i="16"/>
  <c r="W35" i="16" s="1"/>
  <c r="V32" i="16"/>
  <c r="X32" i="16" s="1"/>
  <c r="V35" i="16"/>
  <c r="X35" i="16" s="1"/>
  <c r="U27" i="16"/>
  <c r="W27" i="16" s="1"/>
  <c r="V34" i="16"/>
  <c r="X34" i="16" s="1"/>
  <c r="AI15" i="18"/>
  <c r="AL15" i="18" s="1"/>
  <c r="V31" i="16"/>
  <c r="X31" i="16" s="1"/>
  <c r="AB31" i="16" s="1"/>
  <c r="AD31" i="16" s="1"/>
  <c r="AF31" i="16" s="1"/>
  <c r="V26" i="16"/>
  <c r="X26" i="16" s="1"/>
  <c r="AB26" i="16" s="1"/>
  <c r="AD26" i="16" s="1"/>
  <c r="AI16" i="18"/>
  <c r="AJ16" i="18"/>
  <c r="AI20" i="18"/>
  <c r="AJ20" i="18"/>
  <c r="U30" i="16"/>
  <c r="W30" i="16" s="1"/>
  <c r="AJ13" i="18"/>
  <c r="AI19" i="18"/>
  <c r="AJ19" i="18"/>
  <c r="V25" i="16"/>
  <c r="X25" i="16" s="1"/>
  <c r="V33" i="16"/>
  <c r="X33" i="16" s="1"/>
  <c r="AI22" i="18"/>
  <c r="AJ22" i="18"/>
  <c r="V29" i="16"/>
  <c r="X29" i="16" s="1"/>
  <c r="AI14" i="18"/>
  <c r="AJ14" i="18"/>
  <c r="U32" i="16"/>
  <c r="W32" i="16" s="1"/>
  <c r="AI21" i="18"/>
  <c r="AJ21" i="18"/>
  <c r="V27" i="16"/>
  <c r="X27" i="16" s="1"/>
  <c r="E16" i="18" l="1"/>
  <c r="B55" i="18"/>
  <c r="E12" i="18"/>
  <c r="B59" i="18"/>
  <c r="E18" i="18"/>
  <c r="B63" i="18"/>
  <c r="E21" i="18"/>
  <c r="E19" i="18"/>
  <c r="E22" i="18"/>
  <c r="B60" i="18"/>
  <c r="E13" i="18"/>
  <c r="B54" i="18"/>
  <c r="E15" i="18"/>
  <c r="B57" i="18"/>
  <c r="AK12" i="18"/>
  <c r="AM12" i="18"/>
  <c r="W12" i="18" s="1"/>
  <c r="V4" i="16"/>
  <c r="AN17" i="18"/>
  <c r="V10" i="16"/>
  <c r="U5" i="16"/>
  <c r="AB29" i="16"/>
  <c r="AD29" i="16" s="1"/>
  <c r="AF29" i="16" s="1"/>
  <c r="AN13" i="18"/>
  <c r="AK13" i="18"/>
  <c r="AM18" i="18"/>
  <c r="W18" i="18" s="1"/>
  <c r="AB27" i="16"/>
  <c r="AD27" i="16" s="1"/>
  <c r="AF27" i="16" s="1"/>
  <c r="AL17" i="18"/>
  <c r="V17" i="18" s="1"/>
  <c r="AL18" i="18"/>
  <c r="V18" i="18" s="1"/>
  <c r="AM15" i="18"/>
  <c r="W15" i="18" s="1"/>
  <c r="AA28" i="16"/>
  <c r="AC28" i="16" s="1"/>
  <c r="AE28" i="16" s="1"/>
  <c r="AN11" i="18"/>
  <c r="AL11" i="18"/>
  <c r="C53" i="18" s="1"/>
  <c r="AB33" i="16"/>
  <c r="AD33" i="16" s="1"/>
  <c r="AF33" i="16" s="1"/>
  <c r="AL12" i="18"/>
  <c r="V12" i="18" s="1"/>
  <c r="AN12" i="18"/>
  <c r="D54" i="18" s="1"/>
  <c r="U4" i="16"/>
  <c r="V3" i="16"/>
  <c r="X3" i="16" s="1"/>
  <c r="AB34" i="16"/>
  <c r="AD34" i="16" s="1"/>
  <c r="AF34" i="16" s="1"/>
  <c r="G18" i="18"/>
  <c r="AK11" i="18"/>
  <c r="AA31" i="16"/>
  <c r="AC31" i="16" s="1"/>
  <c r="AI31" i="16" s="1"/>
  <c r="AK31" i="16" s="1"/>
  <c r="H31" i="16" s="1"/>
  <c r="AK15" i="18"/>
  <c r="AO11" i="18"/>
  <c r="AA30" i="16"/>
  <c r="AC30" i="16" s="1"/>
  <c r="AE30" i="16" s="1"/>
  <c r="AK17" i="18"/>
  <c r="AB36" i="16"/>
  <c r="AD36" i="16" s="1"/>
  <c r="AF36" i="16" s="1"/>
  <c r="U10" i="16"/>
  <c r="AK18" i="18"/>
  <c r="AB25" i="16"/>
  <c r="AD25" i="16" s="1"/>
  <c r="AF25" i="16" s="1"/>
  <c r="AA34" i="16"/>
  <c r="AC34" i="16" s="1"/>
  <c r="AB28" i="16"/>
  <c r="AD28" i="16" s="1"/>
  <c r="AO17" i="18"/>
  <c r="AN15" i="18"/>
  <c r="G15" i="18" s="1"/>
  <c r="AB35" i="16"/>
  <c r="AD35" i="16" s="1"/>
  <c r="AF35" i="16" s="1"/>
  <c r="V7" i="16"/>
  <c r="AA32" i="16"/>
  <c r="AC32" i="16" s="1"/>
  <c r="AA29" i="16"/>
  <c r="AC29" i="16" s="1"/>
  <c r="AE29" i="16" s="1"/>
  <c r="U7" i="16"/>
  <c r="AA26" i="16"/>
  <c r="AC26" i="16" s="1"/>
  <c r="AI26" i="16" s="1"/>
  <c r="AK26" i="16" s="1"/>
  <c r="H26" i="16" s="1"/>
  <c r="AA35" i="16"/>
  <c r="AC35" i="16" s="1"/>
  <c r="AE35" i="16" s="1"/>
  <c r="AA36" i="16"/>
  <c r="AC36" i="16" s="1"/>
  <c r="AM17" i="18"/>
  <c r="W17" i="18" s="1"/>
  <c r="W9" i="16"/>
  <c r="AO19" i="18"/>
  <c r="V11" i="16"/>
  <c r="AM19" i="18"/>
  <c r="W19" i="18" s="1"/>
  <c r="AO21" i="18"/>
  <c r="V13" i="16"/>
  <c r="AM21" i="18"/>
  <c r="W21" i="18" s="1"/>
  <c r="AA33" i="16"/>
  <c r="AC33" i="16" s="1"/>
  <c r="AO20" i="18"/>
  <c r="V12" i="16"/>
  <c r="AM20" i="18"/>
  <c r="W20" i="18" s="1"/>
  <c r="AB32" i="16"/>
  <c r="AD32" i="16" s="1"/>
  <c r="AK19" i="18"/>
  <c r="U11" i="16"/>
  <c r="AN19" i="18"/>
  <c r="AL19" i="18"/>
  <c r="AO13" i="18"/>
  <c r="D55" i="18" s="1"/>
  <c r="V5" i="16"/>
  <c r="AM13" i="18"/>
  <c r="W13" i="18" s="1"/>
  <c r="AO14" i="18"/>
  <c r="V6" i="16"/>
  <c r="AM14" i="18"/>
  <c r="W14" i="18" s="1"/>
  <c r="AK21" i="18"/>
  <c r="U13" i="16"/>
  <c r="AN21" i="18"/>
  <c r="AL21" i="18"/>
  <c r="AK14" i="18"/>
  <c r="U6" i="16"/>
  <c r="AN14" i="18"/>
  <c r="AL14" i="18"/>
  <c r="AK20" i="18"/>
  <c r="U12" i="16"/>
  <c r="AN20" i="18"/>
  <c r="AL20" i="18"/>
  <c r="AO16" i="18"/>
  <c r="V8" i="16"/>
  <c r="AM16" i="18"/>
  <c r="W16" i="18" s="1"/>
  <c r="AA27" i="16"/>
  <c r="AC27" i="16" s="1"/>
  <c r="AB30" i="16"/>
  <c r="AD30" i="16" s="1"/>
  <c r="AA25" i="16"/>
  <c r="AC25" i="16" s="1"/>
  <c r="AO22" i="18"/>
  <c r="V14" i="16"/>
  <c r="AM22" i="18"/>
  <c r="W22" i="18" s="1"/>
  <c r="AF26" i="16"/>
  <c r="AK16" i="18"/>
  <c r="U8" i="16"/>
  <c r="AN16" i="18"/>
  <c r="AL16" i="18"/>
  <c r="D60" i="18"/>
  <c r="X9" i="16"/>
  <c r="V13" i="18"/>
  <c r="AK22" i="18"/>
  <c r="U14" i="16"/>
  <c r="AN22" i="18"/>
  <c r="AL22" i="18"/>
  <c r="V15" i="18"/>
  <c r="F12" i="18" l="1"/>
  <c r="X4" i="16"/>
  <c r="W10" i="16"/>
  <c r="G17" i="18"/>
  <c r="C54" i="18"/>
  <c r="X5" i="16"/>
  <c r="D59" i="18"/>
  <c r="C57" i="18"/>
  <c r="W3" i="16"/>
  <c r="AE31" i="16"/>
  <c r="AG31" i="16" s="1"/>
  <c r="F15" i="18"/>
  <c r="F18" i="18"/>
  <c r="AI28" i="16"/>
  <c r="AK28" i="16" s="1"/>
  <c r="H28" i="16" s="1"/>
  <c r="C47" i="16" s="1"/>
  <c r="D53" i="18"/>
  <c r="AM34" i="16"/>
  <c r="V11" i="18"/>
  <c r="F11" i="18" s="1"/>
  <c r="G11" i="18"/>
  <c r="C60" i="18"/>
  <c r="X6" i="16"/>
  <c r="W4" i="16"/>
  <c r="G12" i="18"/>
  <c r="X10" i="16"/>
  <c r="D57" i="18"/>
  <c r="AJ34" i="16"/>
  <c r="I34" i="16" s="1"/>
  <c r="H48" i="16" s="1"/>
  <c r="AJ31" i="16"/>
  <c r="I31" i="16" s="1"/>
  <c r="H45" i="16" s="1"/>
  <c r="AM31" i="16"/>
  <c r="G16" i="18"/>
  <c r="AJ32" i="16"/>
  <c r="I32" i="16" s="1"/>
  <c r="H46" i="16" s="1"/>
  <c r="G20" i="18"/>
  <c r="X7" i="16"/>
  <c r="AI29" i="16"/>
  <c r="AK29" i="16" s="1"/>
  <c r="H29" i="16" s="1"/>
  <c r="C46" i="16" s="1"/>
  <c r="AM36" i="16"/>
  <c r="G22" i="18"/>
  <c r="G21" i="18"/>
  <c r="AF28" i="16"/>
  <c r="AP28" i="16" s="1"/>
  <c r="W11" i="16"/>
  <c r="X13" i="16"/>
  <c r="AI34" i="16"/>
  <c r="AK34" i="16" s="1"/>
  <c r="H34" i="16" s="1"/>
  <c r="AE34" i="16"/>
  <c r="AP34" i="16" s="1"/>
  <c r="AE32" i="16"/>
  <c r="AJ28" i="16"/>
  <c r="I28" i="16" s="1"/>
  <c r="H42" i="16" s="1"/>
  <c r="AM28" i="16"/>
  <c r="AI36" i="16"/>
  <c r="AK36" i="16" s="1"/>
  <c r="H36" i="16" s="1"/>
  <c r="C39" i="16" s="1"/>
  <c r="G19" i="18"/>
  <c r="AM32" i="16"/>
  <c r="AP35" i="16"/>
  <c r="AM29" i="16"/>
  <c r="AE36" i="16"/>
  <c r="AP36" i="16" s="1"/>
  <c r="F17" i="18"/>
  <c r="AJ29" i="16"/>
  <c r="I29" i="16" s="1"/>
  <c r="D46" i="16" s="1"/>
  <c r="AJ36" i="16"/>
  <c r="I36" i="16" s="1"/>
  <c r="D39" i="16" s="1"/>
  <c r="W7" i="16"/>
  <c r="AJ35" i="16"/>
  <c r="I35" i="16" s="1"/>
  <c r="H49" i="16" s="1"/>
  <c r="AJ26" i="16"/>
  <c r="I26" i="16" s="1"/>
  <c r="AE26" i="16"/>
  <c r="AO26" i="16" s="1"/>
  <c r="W14" i="16"/>
  <c r="AG35" i="16"/>
  <c r="X12" i="16"/>
  <c r="AI35" i="16"/>
  <c r="AK35" i="16" s="1"/>
  <c r="H35" i="16" s="1"/>
  <c r="G49" i="16" s="1"/>
  <c r="AI32" i="16"/>
  <c r="AK32" i="16" s="1"/>
  <c r="H32" i="16" s="1"/>
  <c r="C43" i="16" s="1"/>
  <c r="AO29" i="16"/>
  <c r="AM35" i="16"/>
  <c r="W6" i="16"/>
  <c r="D56" i="18"/>
  <c r="W8" i="16"/>
  <c r="AH29" i="16"/>
  <c r="W5" i="16"/>
  <c r="C59" i="18"/>
  <c r="AM26" i="16"/>
  <c r="AP29" i="16"/>
  <c r="AF30" i="16"/>
  <c r="AP30" i="16" s="1"/>
  <c r="D63" i="18"/>
  <c r="X11" i="16"/>
  <c r="AJ25" i="16"/>
  <c r="I25" i="16" s="1"/>
  <c r="AI25" i="16"/>
  <c r="AK25" i="16" s="1"/>
  <c r="H25" i="16" s="1"/>
  <c r="AM25" i="16"/>
  <c r="AE25" i="16"/>
  <c r="AP25" i="16" s="1"/>
  <c r="AJ27" i="16"/>
  <c r="I27" i="16" s="1"/>
  <c r="AE27" i="16"/>
  <c r="AG27" i="16" s="1"/>
  <c r="AI27" i="16"/>
  <c r="AK27" i="16" s="1"/>
  <c r="H27" i="16" s="1"/>
  <c r="AM27" i="16"/>
  <c r="AJ30" i="16"/>
  <c r="I30" i="16" s="1"/>
  <c r="W12" i="16"/>
  <c r="V21" i="18"/>
  <c r="F21" i="18" s="1"/>
  <c r="C63" i="18"/>
  <c r="D62" i="18"/>
  <c r="D61" i="18"/>
  <c r="C58" i="18"/>
  <c r="V16" i="18"/>
  <c r="F16" i="18" s="1"/>
  <c r="W13" i="16"/>
  <c r="AM33" i="16"/>
  <c r="AE33" i="16"/>
  <c r="AG33" i="16" s="1"/>
  <c r="AJ33" i="16"/>
  <c r="I33" i="16" s="1"/>
  <c r="AI33" i="16"/>
  <c r="AK33" i="16" s="1"/>
  <c r="H33" i="16" s="1"/>
  <c r="C64" i="18"/>
  <c r="V22" i="18"/>
  <c r="F22" i="18" s="1"/>
  <c r="C62" i="18"/>
  <c r="V20" i="18"/>
  <c r="F20" i="18" s="1"/>
  <c r="AG29" i="16"/>
  <c r="C55" i="18"/>
  <c r="X14" i="16"/>
  <c r="AO35" i="16"/>
  <c r="AH35" i="16"/>
  <c r="AI30" i="16"/>
  <c r="AK30" i="16" s="1"/>
  <c r="H30" i="16" s="1"/>
  <c r="X8" i="16"/>
  <c r="V14" i="18"/>
  <c r="F14" i="18" s="1"/>
  <c r="C56" i="18"/>
  <c r="C49" i="16"/>
  <c r="G40" i="16"/>
  <c r="G45" i="16"/>
  <c r="C44" i="16"/>
  <c r="F13" i="18"/>
  <c r="D64" i="18"/>
  <c r="AM30" i="16"/>
  <c r="D58" i="18"/>
  <c r="G14" i="18"/>
  <c r="G13" i="18"/>
  <c r="C61" i="18"/>
  <c r="V19" i="18"/>
  <c r="F19" i="18" s="1"/>
  <c r="AF32" i="16"/>
  <c r="G42" i="16" l="1"/>
  <c r="AH34" i="16"/>
  <c r="D43" i="16"/>
  <c r="G46" i="16"/>
  <c r="AP31" i="16"/>
  <c r="AG36" i="16"/>
  <c r="AH31" i="16"/>
  <c r="AL31" i="16" s="1"/>
  <c r="AN31" i="16" s="1"/>
  <c r="E31" i="16" s="1"/>
  <c r="P20" i="11" s="1"/>
  <c r="AO31" i="16"/>
  <c r="AO34" i="16"/>
  <c r="AQ34" i="16" s="1"/>
  <c r="AR34" i="16" s="1"/>
  <c r="F34" i="16" s="1"/>
  <c r="Q23" i="11" s="1"/>
  <c r="AG28" i="16"/>
  <c r="D41" i="16"/>
  <c r="AP32" i="16"/>
  <c r="AO28" i="16"/>
  <c r="AQ28" i="16" s="1"/>
  <c r="AR28" i="16" s="1"/>
  <c r="F28" i="16" s="1"/>
  <c r="Q17" i="11" s="1"/>
  <c r="H17" i="11" s="1"/>
  <c r="D44" i="16"/>
  <c r="C40" i="16"/>
  <c r="AH28" i="16"/>
  <c r="G43" i="16"/>
  <c r="AQ35" i="16"/>
  <c r="AR35" i="16" s="1"/>
  <c r="F35" i="16" s="1"/>
  <c r="Q24" i="11" s="1"/>
  <c r="H24" i="11" s="1"/>
  <c r="D47" i="16"/>
  <c r="AL35" i="16"/>
  <c r="AN35" i="16" s="1"/>
  <c r="E35" i="16" s="1"/>
  <c r="E63" i="16" s="1"/>
  <c r="J62" i="16" s="1"/>
  <c r="AG34" i="16"/>
  <c r="AO36" i="16"/>
  <c r="AQ36" i="16" s="1"/>
  <c r="AR36" i="16" s="1"/>
  <c r="F36" i="16" s="1"/>
  <c r="Q25" i="11" s="1"/>
  <c r="L25" i="11" s="1"/>
  <c r="AP26" i="16"/>
  <c r="AQ26" i="16" s="1"/>
  <c r="AR26" i="16" s="1"/>
  <c r="F26" i="16" s="1"/>
  <c r="Q15" i="11" s="1"/>
  <c r="AG26" i="16"/>
  <c r="G50" i="16"/>
  <c r="H50" i="16"/>
  <c r="D40" i="16"/>
  <c r="AO30" i="16"/>
  <c r="AQ30" i="16" s="1"/>
  <c r="AR30" i="16" s="1"/>
  <c r="F30" i="16" s="1"/>
  <c r="Q19" i="11" s="1"/>
  <c r="L19" i="11" s="1"/>
  <c r="C41" i="16"/>
  <c r="G48" i="16"/>
  <c r="AP33" i="16"/>
  <c r="H43" i="16"/>
  <c r="AQ29" i="16"/>
  <c r="AR29" i="16" s="1"/>
  <c r="F29" i="16" s="1"/>
  <c r="Q18" i="11" s="1"/>
  <c r="K18" i="11" s="1"/>
  <c r="AH36" i="16"/>
  <c r="AH26" i="16"/>
  <c r="AG25" i="16"/>
  <c r="AP27" i="16"/>
  <c r="AL29" i="16"/>
  <c r="AN29" i="16" s="1"/>
  <c r="E29" i="16" s="1"/>
  <c r="P18" i="11" s="1"/>
  <c r="AH30" i="16"/>
  <c r="D49" i="16"/>
  <c r="H40" i="16"/>
  <c r="D50" i="16"/>
  <c r="H39" i="16"/>
  <c r="C48" i="16"/>
  <c r="G41" i="16"/>
  <c r="C45" i="16"/>
  <c r="G44" i="16"/>
  <c r="AO27" i="16"/>
  <c r="AH27" i="16"/>
  <c r="AL27" i="16" s="1"/>
  <c r="AN27" i="16" s="1"/>
  <c r="E27" i="16" s="1"/>
  <c r="D42" i="16"/>
  <c r="H47" i="16"/>
  <c r="AO25" i="16"/>
  <c r="AQ25" i="16" s="1"/>
  <c r="AR25" i="16" s="1"/>
  <c r="F25" i="16" s="1"/>
  <c r="Q14" i="11" s="1"/>
  <c r="AH25" i="16"/>
  <c r="AG32" i="16"/>
  <c r="D48" i="16"/>
  <c r="H41" i="16"/>
  <c r="AO32" i="16"/>
  <c r="D45" i="16"/>
  <c r="H44" i="16"/>
  <c r="G47" i="16"/>
  <c r="C42" i="16"/>
  <c r="AH32" i="16"/>
  <c r="AO33" i="16"/>
  <c r="AH33" i="16"/>
  <c r="AL33" i="16" s="1"/>
  <c r="AN33" i="16" s="1"/>
  <c r="E33" i="16" s="1"/>
  <c r="C50" i="16"/>
  <c r="G39" i="16"/>
  <c r="AG30" i="16"/>
  <c r="J45" i="16" l="1"/>
  <c r="E59" i="16"/>
  <c r="AL34" i="16"/>
  <c r="AN34" i="16" s="1"/>
  <c r="E34" i="16" s="1"/>
  <c r="E62" i="16" s="1"/>
  <c r="AQ31" i="16"/>
  <c r="AR31" i="16" s="1"/>
  <c r="F31" i="16" s="1"/>
  <c r="Q20" i="11" s="1"/>
  <c r="J20" i="11" s="1"/>
  <c r="AL36" i="16"/>
  <c r="AN36" i="16" s="1"/>
  <c r="E36" i="16" s="1"/>
  <c r="E64" i="16" s="1"/>
  <c r="J63" i="16" s="1"/>
  <c r="L62" i="16" s="1"/>
  <c r="J18" i="11"/>
  <c r="AQ32" i="16"/>
  <c r="AR32" i="16" s="1"/>
  <c r="F32" i="16" s="1"/>
  <c r="Q21" i="11" s="1"/>
  <c r="L21" i="11" s="1"/>
  <c r="K45" i="16"/>
  <c r="K17" i="11"/>
  <c r="L17" i="11"/>
  <c r="J17" i="11"/>
  <c r="AL28" i="16"/>
  <c r="AN28" i="16" s="1"/>
  <c r="E28" i="16" s="1"/>
  <c r="E56" i="16" s="1"/>
  <c r="J24" i="11"/>
  <c r="K24" i="11"/>
  <c r="L24" i="11"/>
  <c r="H18" i="11"/>
  <c r="H25" i="11"/>
  <c r="AL26" i="16"/>
  <c r="AN26" i="16" s="1"/>
  <c r="E26" i="16" s="1"/>
  <c r="E54" i="16" s="1"/>
  <c r="L18" i="11"/>
  <c r="AL30" i="16"/>
  <c r="AN30" i="16" s="1"/>
  <c r="E30" i="16" s="1"/>
  <c r="E58" i="16" s="1"/>
  <c r="P24" i="11"/>
  <c r="F24" i="11" s="1"/>
  <c r="J25" i="11"/>
  <c r="K25" i="11"/>
  <c r="H19" i="11"/>
  <c r="K19" i="11"/>
  <c r="J19" i="11"/>
  <c r="AQ27" i="16"/>
  <c r="AR27" i="16" s="1"/>
  <c r="F27" i="16" s="1"/>
  <c r="Q16" i="11" s="1"/>
  <c r="K16" i="11" s="1"/>
  <c r="L45" i="16"/>
  <c r="AQ33" i="16"/>
  <c r="AR33" i="16" s="1"/>
  <c r="F33" i="16" s="1"/>
  <c r="Q22" i="11" s="1"/>
  <c r="J22" i="11" s="1"/>
  <c r="E57" i="16"/>
  <c r="H15" i="11"/>
  <c r="L15" i="11"/>
  <c r="K15" i="11"/>
  <c r="J15" i="11"/>
  <c r="AL25" i="16"/>
  <c r="AN25" i="16" s="1"/>
  <c r="E25" i="16" s="1"/>
  <c r="E53" i="16" s="1"/>
  <c r="E55" i="16"/>
  <c r="P16" i="11"/>
  <c r="E61" i="16"/>
  <c r="P22" i="11"/>
  <c r="K44" i="16"/>
  <c r="N44" i="16" s="1"/>
  <c r="J44" i="16"/>
  <c r="L44" i="16"/>
  <c r="N45" i="16" s="1"/>
  <c r="H23" i="11"/>
  <c r="J23" i="11"/>
  <c r="L23" i="11"/>
  <c r="K23" i="11"/>
  <c r="G34" i="11"/>
  <c r="I18" i="11"/>
  <c r="E18" i="11"/>
  <c r="G18" i="11"/>
  <c r="F18" i="11"/>
  <c r="G36" i="11"/>
  <c r="I20" i="11"/>
  <c r="E20" i="11"/>
  <c r="G20" i="11"/>
  <c r="F20" i="11"/>
  <c r="H14" i="11"/>
  <c r="J14" i="11"/>
  <c r="L14" i="11"/>
  <c r="K14" i="11"/>
  <c r="AL32" i="16"/>
  <c r="AN32" i="16" s="1"/>
  <c r="E32" i="16" s="1"/>
  <c r="H20" i="11" l="1"/>
  <c r="P23" i="11"/>
  <c r="G23" i="11" s="1"/>
  <c r="P25" i="11"/>
  <c r="F25" i="11" s="1"/>
  <c r="H21" i="11"/>
  <c r="K21" i="11"/>
  <c r="J21" i="11"/>
  <c r="K20" i="11"/>
  <c r="L20" i="11"/>
  <c r="P17" i="11"/>
  <c r="G33" i="11" s="1"/>
  <c r="P19" i="11"/>
  <c r="G19" i="11" s="1"/>
  <c r="E65" i="16"/>
  <c r="E66" i="16" s="1"/>
  <c r="G24" i="11"/>
  <c r="E24" i="11"/>
  <c r="J16" i="11"/>
  <c r="I24" i="11"/>
  <c r="I25" i="11" s="1"/>
  <c r="P15" i="11"/>
  <c r="G31" i="11" s="1"/>
  <c r="H16" i="11"/>
  <c r="I57" i="1"/>
  <c r="J57" i="1" s="1"/>
  <c r="L16" i="11"/>
  <c r="G40" i="11"/>
  <c r="L22" i="11"/>
  <c r="K22" i="11"/>
  <c r="H22" i="11"/>
  <c r="P14" i="11"/>
  <c r="I14" i="11" s="1"/>
  <c r="M18" i="11"/>
  <c r="N18" i="11" s="1"/>
  <c r="E60" i="16"/>
  <c r="K58" i="16" s="1"/>
  <c r="P21" i="11"/>
  <c r="O45" i="16"/>
  <c r="O44" i="16"/>
  <c r="P45" i="16"/>
  <c r="P44" i="16"/>
  <c r="G32" i="11"/>
  <c r="I16" i="11"/>
  <c r="E16" i="11"/>
  <c r="G16" i="11"/>
  <c r="F16" i="11"/>
  <c r="G38" i="11"/>
  <c r="I56" i="1"/>
  <c r="J56" i="1" s="1"/>
  <c r="I22" i="11"/>
  <c r="E22" i="11"/>
  <c r="G22" i="11"/>
  <c r="F22" i="11"/>
  <c r="E23" i="11" l="1"/>
  <c r="I23" i="11"/>
  <c r="G39" i="11"/>
  <c r="G41" i="11"/>
  <c r="G25" i="11"/>
  <c r="E25" i="11"/>
  <c r="F23" i="11"/>
  <c r="M20" i="11"/>
  <c r="B9" i="6" s="1"/>
  <c r="J64" i="16"/>
  <c r="L63" i="16" s="1"/>
  <c r="F19" i="11"/>
  <c r="G17" i="11"/>
  <c r="E17" i="11"/>
  <c r="F17" i="11"/>
  <c r="I17" i="11"/>
  <c r="E19" i="11"/>
  <c r="I19" i="11"/>
  <c r="G35" i="11"/>
  <c r="F14" i="11"/>
  <c r="B7" i="6"/>
  <c r="G30" i="11"/>
  <c r="M24" i="11"/>
  <c r="B13" i="6" s="1"/>
  <c r="G14" i="11"/>
  <c r="F15" i="11"/>
  <c r="I15" i="11"/>
  <c r="E15" i="11"/>
  <c r="G15" i="11"/>
  <c r="E14" i="11"/>
  <c r="Q44" i="16"/>
  <c r="W5" i="1" s="1"/>
  <c r="B57" i="1" s="1"/>
  <c r="B67" i="11"/>
  <c r="N37" i="11"/>
  <c r="N52" i="11"/>
  <c r="M16" i="11"/>
  <c r="G37" i="11"/>
  <c r="I55" i="1"/>
  <c r="J55" i="1" s="1"/>
  <c r="I21" i="11"/>
  <c r="E21" i="11"/>
  <c r="G21" i="11"/>
  <c r="F21" i="11"/>
  <c r="M22" i="11"/>
  <c r="M23" i="11" l="1"/>
  <c r="N23" i="11" s="1"/>
  <c r="N20" i="11"/>
  <c r="B69" i="11" s="1"/>
  <c r="M25" i="11"/>
  <c r="B14" i="6" s="1"/>
  <c r="M19" i="11"/>
  <c r="N19" i="11" s="1"/>
  <c r="M17" i="11"/>
  <c r="M14" i="11"/>
  <c r="N14" i="11" s="1"/>
  <c r="N24" i="11"/>
  <c r="B73" i="11" s="1"/>
  <c r="M15" i="11"/>
  <c r="Q45" i="16"/>
  <c r="Y5" i="1" s="1"/>
  <c r="M21" i="11"/>
  <c r="N22" i="11"/>
  <c r="B11" i="6"/>
  <c r="N16" i="11"/>
  <c r="B5" i="6"/>
  <c r="B12" i="6" l="1"/>
  <c r="N54" i="11"/>
  <c r="N39" i="11"/>
  <c r="N25" i="11"/>
  <c r="N59" i="11" s="1"/>
  <c r="B3" i="6"/>
  <c r="B8" i="6"/>
  <c r="N58" i="11"/>
  <c r="N17" i="11"/>
  <c r="U16" i="11" s="1"/>
  <c r="T16" i="11" s="1"/>
  <c r="B6" i="6"/>
  <c r="AB19" i="1"/>
  <c r="N43" i="11"/>
  <c r="N15" i="11"/>
  <c r="U14" i="11" s="1"/>
  <c r="T14" i="11" s="1"/>
  <c r="B4" i="6"/>
  <c r="B65" i="11"/>
  <c r="N35" i="11"/>
  <c r="N50" i="11"/>
  <c r="N56" i="11"/>
  <c r="N41" i="11"/>
  <c r="B71" i="11"/>
  <c r="U22" i="11"/>
  <c r="T22" i="11" s="1"/>
  <c r="N53" i="11"/>
  <c r="N38" i="11"/>
  <c r="B68" i="11"/>
  <c r="D68" i="11" s="1"/>
  <c r="E66" i="11" s="1"/>
  <c r="AB16" i="1" s="1"/>
  <c r="U18" i="11"/>
  <c r="T18" i="11" s="1"/>
  <c r="B63" i="11"/>
  <c r="N48" i="11"/>
  <c r="N33" i="11"/>
  <c r="U19" i="11"/>
  <c r="T19" i="11" s="1"/>
  <c r="N21" i="11"/>
  <c r="U21" i="11" s="1"/>
  <c r="B10" i="6"/>
  <c r="B72" i="11"/>
  <c r="D72" i="11" s="1"/>
  <c r="E70" i="11" s="1"/>
  <c r="AB18" i="1" s="1"/>
  <c r="N42" i="11"/>
  <c r="N57" i="11"/>
  <c r="U23" i="11"/>
  <c r="T23" i="11" s="1"/>
  <c r="T25" i="11" l="1"/>
  <c r="B74" i="11"/>
  <c r="D73" i="11" s="1"/>
  <c r="E73" i="11" s="1"/>
  <c r="AB20" i="1" s="1"/>
  <c r="N44" i="11"/>
  <c r="T44" i="11" s="1"/>
  <c r="U24" i="11"/>
  <c r="T24" i="11" s="1"/>
  <c r="Y24" i="11" s="1"/>
  <c r="U25" i="11"/>
  <c r="U17" i="11"/>
  <c r="T17" i="11" s="1"/>
  <c r="N36" i="11"/>
  <c r="U36" i="11" s="1"/>
  <c r="T36" i="11" s="1"/>
  <c r="Y36" i="11" s="1"/>
  <c r="N51" i="11"/>
  <c r="B66" i="11"/>
  <c r="D65" i="11" s="1"/>
  <c r="E64" i="11" s="1"/>
  <c r="AB14" i="1" s="1"/>
  <c r="AB15" i="1"/>
  <c r="U15" i="11"/>
  <c r="T15" i="11" s="1"/>
  <c r="AD15" i="11" s="1"/>
  <c r="B64" i="11"/>
  <c r="D63" i="11" s="1"/>
  <c r="N34" i="11"/>
  <c r="U33" i="11" s="1"/>
  <c r="T33" i="11" s="1"/>
  <c r="N49" i="11"/>
  <c r="AB13" i="1"/>
  <c r="AE19" i="11"/>
  <c r="Z19" i="11"/>
  <c r="Y19" i="11"/>
  <c r="AD19" i="11"/>
  <c r="Z16" i="11"/>
  <c r="Y16" i="11"/>
  <c r="AE16" i="11"/>
  <c r="AD16" i="11"/>
  <c r="AD23" i="11"/>
  <c r="Z23" i="11"/>
  <c r="AE23" i="11"/>
  <c r="Y23" i="11"/>
  <c r="U37" i="11"/>
  <c r="T37" i="11" s="1"/>
  <c r="U42" i="11"/>
  <c r="T42" i="11" s="1"/>
  <c r="U41" i="11"/>
  <c r="T41" i="11" s="1"/>
  <c r="AE14" i="11"/>
  <c r="AD14" i="11"/>
  <c r="Z14" i="11"/>
  <c r="Y14" i="11"/>
  <c r="U20" i="11"/>
  <c r="T20" i="11" s="1"/>
  <c r="N40" i="11"/>
  <c r="B70" i="11"/>
  <c r="N55" i="11"/>
  <c r="T21" i="11"/>
  <c r="AB17" i="1"/>
  <c r="U38" i="11"/>
  <c r="T38" i="11" s="1"/>
  <c r="Y18" i="11"/>
  <c r="Z18" i="11"/>
  <c r="AE18" i="11"/>
  <c r="AD18" i="11"/>
  <c r="AE22" i="11"/>
  <c r="AD22" i="11"/>
  <c r="Z22" i="11"/>
  <c r="Y22" i="11"/>
  <c r="U44" i="11" l="1"/>
  <c r="U43" i="11"/>
  <c r="T43" i="11" s="1"/>
  <c r="Z43" i="11" s="1"/>
  <c r="AE24" i="11"/>
  <c r="AD24" i="11"/>
  <c r="Z24" i="11"/>
  <c r="AA24" i="11" s="1"/>
  <c r="Y17" i="11"/>
  <c r="AD17" i="11"/>
  <c r="AE17" i="11"/>
  <c r="Z17" i="11"/>
  <c r="Z36" i="11"/>
  <c r="AA36" i="11" s="1"/>
  <c r="U35" i="11"/>
  <c r="T35" i="11" s="1"/>
  <c r="Z35" i="11" s="1"/>
  <c r="U34" i="11"/>
  <c r="T34" i="11" s="1"/>
  <c r="Z34" i="11" s="1"/>
  <c r="Y15" i="11"/>
  <c r="AE15" i="11"/>
  <c r="AF15" i="11" s="1"/>
  <c r="Z15" i="11"/>
  <c r="AF23" i="11"/>
  <c r="AA16" i="11"/>
  <c r="Y41" i="11"/>
  <c r="Z41" i="11"/>
  <c r="Z42" i="11"/>
  <c r="Y42" i="11"/>
  <c r="AF18" i="11"/>
  <c r="U39" i="11"/>
  <c r="T39" i="11" s="1"/>
  <c r="Z37" i="11"/>
  <c r="Y37" i="11"/>
  <c r="AF16" i="11"/>
  <c r="AA18" i="11"/>
  <c r="Y20" i="11"/>
  <c r="AE20" i="11"/>
  <c r="AD20" i="11"/>
  <c r="Z20" i="11"/>
  <c r="Z38" i="11"/>
  <c r="Y38" i="11"/>
  <c r="AA22" i="11"/>
  <c r="AA14" i="11"/>
  <c r="Z21" i="11"/>
  <c r="AE21" i="11"/>
  <c r="AD21" i="11"/>
  <c r="Y21" i="11"/>
  <c r="U40" i="11"/>
  <c r="T40" i="11" s="1"/>
  <c r="AA23" i="11"/>
  <c r="AA19" i="11"/>
  <c r="AF22" i="11"/>
  <c r="Y33" i="11"/>
  <c r="Z33" i="11"/>
  <c r="AF14" i="11"/>
  <c r="AF19" i="11"/>
  <c r="Y43" i="11" l="1"/>
  <c r="AA43" i="11" s="1"/>
  <c r="AF24" i="11"/>
  <c r="AA15" i="11"/>
  <c r="Y35" i="11"/>
  <c r="AA35" i="11" s="1"/>
  <c r="Y34" i="11"/>
  <c r="AA34" i="11" s="1"/>
  <c r="AA17" i="11"/>
  <c r="AF17" i="11"/>
  <c r="AA20" i="11"/>
  <c r="AA41" i="11"/>
  <c r="AA37" i="11"/>
  <c r="Z40" i="11"/>
  <c r="Y40" i="11"/>
  <c r="Z39" i="11"/>
  <c r="Y39" i="11"/>
  <c r="AA33" i="11"/>
  <c r="AF20" i="11"/>
  <c r="AF21" i="11"/>
  <c r="AA21" i="11"/>
  <c r="AA42" i="11"/>
  <c r="AA38" i="11"/>
  <c r="AA27" i="11" l="1"/>
  <c r="AC29" i="11" s="1"/>
  <c r="AF27" i="11"/>
  <c r="AF28" i="11" s="1"/>
  <c r="AA8" i="1" s="1"/>
  <c r="AA39" i="11"/>
  <c r="AA40" i="11"/>
  <c r="AA29" i="11" l="1"/>
  <c r="AA30" i="11" s="1"/>
  <c r="Z8" i="1" s="1"/>
  <c r="AA28" i="11"/>
  <c r="V8" i="1" s="1"/>
  <c r="W8" i="1" s="1"/>
  <c r="X8" i="1" l="1"/>
  <c r="Y8" i="1" s="1"/>
  <c r="Y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V7" authorId="0" shapeId="0" xr:uid="{00000000-0006-0000-0000-000001000000}">
      <text>
        <r>
          <rPr>
            <sz val="10"/>
            <color rgb="FF000000"/>
            <rFont val="Arial"/>
          </rPr>
          <t>ee55020 number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7" authorId="0" shapeId="0" xr:uid="{00000000-0006-0000-0300-000001000000}">
      <text>
        <r>
          <rPr>
            <sz val="10"/>
            <color rgb="FF000000"/>
            <rFont val="Arial"/>
          </rPr>
          <t xml:space="preserve">auto, will be complcate if min/max result different diva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7" authorId="0" shapeId="0" xr:uid="{00000000-0006-0000-0400-000001000000}">
      <text>
        <r>
          <rPr>
            <sz val="10"/>
            <color rgb="FF000000"/>
            <rFont val="Arial"/>
          </rPr>
          <t xml:space="preserve">auto, will be complcate if min/max result different diva
</t>
        </r>
      </text>
    </comment>
    <comment ref="G17" authorId="0" shapeId="0" xr:uid="{00000000-0006-0000-0400-000002000000}">
      <text>
        <r>
          <rPr>
            <sz val="10"/>
            <color rgb="FF000000"/>
            <rFont val="Arial"/>
          </rPr>
          <t xml:space="preserve">auto, will be complcate if min/max result different diva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V35" authorId="0" shapeId="0" xr:uid="{00000000-0006-0000-0700-000001000000}">
      <text>
        <r>
          <rPr>
            <sz val="10"/>
            <color rgb="FF000000"/>
            <rFont val="Arial"/>
          </rPr>
          <t xml:space="preserve">guess, based on 50K BW 0.13fs jitter on DS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25" authorId="0" shapeId="0" xr:uid="{00000000-0006-0000-0A00-000001000000}">
      <text>
        <r>
          <rPr>
            <sz val="10"/>
            <color rgb="FF000000"/>
            <rFont val="Arial"/>
          </rPr>
          <t xml:space="preserve">the calculated one =-800 dbc, cause plot plot wired, 
</t>
        </r>
      </text>
    </comment>
  </commentList>
</comments>
</file>

<file path=xl/sharedStrings.xml><?xml version="1.0" encoding="utf-8"?>
<sst xmlns="http://schemas.openxmlformats.org/spreadsheetml/2006/main" count="1121" uniqueCount="627">
  <si>
    <t>PLL:</t>
  </si>
  <si>
    <t>MAX2769</t>
  </si>
  <si>
    <t xml:space="preserve">VCO:        </t>
  </si>
  <si>
    <t xml:space="preserve">Main PLL/VCO </t>
  </si>
  <si>
    <t>Sim result: BW and Phase Margin:</t>
  </si>
  <si>
    <t>Mode:</t>
  </si>
  <si>
    <t>calc</t>
  </si>
  <si>
    <t>c1(nF)</t>
  </si>
  <si>
    <t>r2(K)</t>
  </si>
  <si>
    <t>c2(nF)</t>
  </si>
  <si>
    <t>r3(K)</t>
  </si>
  <si>
    <t>c3(nF)</t>
  </si>
  <si>
    <t>round</t>
  </si>
  <si>
    <t>Rnoise</t>
  </si>
  <si>
    <t>on</t>
  </si>
  <si>
    <t>Fc(KHz)</t>
  </si>
  <si>
    <t>PM(deg)</t>
  </si>
  <si>
    <t>r3 scale</t>
  </si>
  <si>
    <t xml:space="preserve">Required </t>
  </si>
  <si>
    <t>Integration limit</t>
  </si>
  <si>
    <t>cro8000</t>
  </si>
  <si>
    <t>filter1</t>
  </si>
  <si>
    <t>VCO</t>
  </si>
  <si>
    <t>LL(KHz)</t>
  </si>
  <si>
    <t>HL(KHz)</t>
  </si>
  <si>
    <t>integral</t>
  </si>
  <si>
    <t>dB-SSB</t>
  </si>
  <si>
    <t>dB-DSB</t>
  </si>
  <si>
    <t>deg</t>
  </si>
  <si>
    <t>mrad</t>
  </si>
  <si>
    <t>ps</t>
  </si>
  <si>
    <t>FM (KHz)</t>
  </si>
  <si>
    <t>Target</t>
  </si>
  <si>
    <t>step(kHz)</t>
  </si>
  <si>
    <t>step(MHz)</t>
  </si>
  <si>
    <t>---&gt;</t>
  </si>
  <si>
    <t>max9632</t>
  </si>
  <si>
    <t>pas flt</t>
  </si>
  <si>
    <t>kvco</t>
  </si>
  <si>
    <t>auto</t>
  </si>
  <si>
    <t>ideal</t>
  </si>
  <si>
    <t>actual:</t>
  </si>
  <si>
    <t>ref(MHz)</t>
  </si>
  <si>
    <t>doubler</t>
  </si>
  <si>
    <t>r_div1</t>
  </si>
  <si>
    <t>r_div2</t>
  </si>
  <si>
    <t>Fcomp</t>
  </si>
  <si>
    <t>CP(mA)</t>
  </si>
  <si>
    <t>outA(MHz)</t>
  </si>
  <si>
    <t>target</t>
  </si>
  <si>
    <t>offset(KHz)</t>
  </si>
  <si>
    <t>dBc/Hz</t>
  </si>
  <si>
    <t>N+F/M</t>
  </si>
  <si>
    <t>low spur</t>
  </si>
  <si>
    <t>total N:</t>
  </si>
  <si>
    <t>fr=1,in=0</t>
  </si>
  <si>
    <t>MOD</t>
  </si>
  <si>
    <t>F</t>
  </si>
  <si>
    <t>&lt;-mod</t>
  </si>
  <si>
    <t>fb_mux</t>
  </si>
  <si>
    <t>bdiv_mux</t>
  </si>
  <si>
    <t>simplest:</t>
  </si>
  <si>
    <t>reference phase noise input:</t>
  </si>
  <si>
    <t>Pre-load Loop filter input table</t>
  </si>
  <si>
    <t>name\offset(KHz)</t>
  </si>
  <si>
    <t>name</t>
  </si>
  <si>
    <t>Note</t>
  </si>
  <si>
    <t>xtal1</t>
  </si>
  <si>
    <t>xtal2</t>
  </si>
  <si>
    <t>filter2</t>
  </si>
  <si>
    <t>filter3</t>
  </si>
  <si>
    <t>cheat:</t>
  </si>
  <si>
    <t>vco</t>
  </si>
  <si>
    <t>pll_flat</t>
  </si>
  <si>
    <t>pll_1/f</t>
  </si>
  <si>
    <t>xtal</t>
  </si>
  <si>
    <t>Lock time , spur stuff, Very experimental !!!</t>
  </si>
  <si>
    <t>spur</t>
  </si>
  <si>
    <t>Lock Time</t>
  </si>
  <si>
    <t>dec</t>
  </si>
  <si>
    <t>hex</t>
  </si>
  <si>
    <t>lp</t>
  </si>
  <si>
    <t>base</t>
  </si>
  <si>
    <t>BS</t>
  </si>
  <si>
    <t>rej @</t>
  </si>
  <si>
    <t>dB</t>
  </si>
  <si>
    <t>Fbs(K)</t>
  </si>
  <si>
    <t>100k</t>
  </si>
  <si>
    <t>Tvas(us)</t>
  </si>
  <si>
    <t>200k</t>
  </si>
  <si>
    <t>Int spur</t>
  </si>
  <si>
    <t>KHz</t>
  </si>
  <si>
    <t>Tpll(us)</t>
  </si>
  <si>
    <t>1M</t>
  </si>
  <si>
    <t>1/2 spur</t>
  </si>
  <si>
    <t>Mod cal</t>
  </si>
  <si>
    <t>in case</t>
  </si>
  <si>
    <t>LCM</t>
  </si>
  <si>
    <t>real</t>
  </si>
  <si>
    <t>fb=1</t>
  </si>
  <si>
    <t>mod=</t>
  </si>
  <si>
    <t xml:space="preserve">actual </t>
  </si>
  <si>
    <t>step</t>
  </si>
  <si>
    <t>result</t>
  </si>
  <si>
    <t>Fout</t>
  </si>
  <si>
    <t>ref spur level</t>
  </si>
  <si>
    <t>fb=0</t>
  </si>
  <si>
    <t>manual</t>
  </si>
  <si>
    <t>change</t>
  </si>
  <si>
    <t>note</t>
  </si>
  <si>
    <t xml:space="preserve">2013 09-10 5:06 PM, some major bug fixed, all calculates correlated with EN5502 very well, </t>
  </si>
  <si>
    <t xml:space="preserve">2013-10-04 start adding new VCO PN profile </t>
  </si>
  <si>
    <t>2013-10-24 fix bug for PN calulation when doubler is on/div2</t>
  </si>
  <si>
    <t>2013-12-09 major: add opamp noise, some change made on R calculation</t>
  </si>
  <si>
    <t>the active noise is not complete, R noise calculation is complete, but transfer function under PLL filter cal, also, opamp 1/f corner, and current need to be added-- so NOT use active filter option at front page</t>
  </si>
  <si>
    <t>2014-1-20, major, add main input tab, all calculation tab will become general, they will grap data from input tab and GUI</t>
  </si>
  <si>
    <t>2014-02-04 active filter finished on both transfer functio and noise cal</t>
  </si>
  <si>
    <t>verified</t>
  </si>
  <si>
    <t>2014-05-08 add register output for 2870</t>
  </si>
  <si>
    <t>2014-08-28 add true 2871 PN based on TOC/DS, inband noise 1/f is still estimation, need real measured data</t>
  </si>
  <si>
    <t>9/21/2014 add band noise calculation, some bug at main integrated noise calculation, 100k-1000k, some points are double count,  fixed need verify</t>
  </si>
  <si>
    <t>03/06 add 2875 noiase based on Gray measurement</t>
  </si>
  <si>
    <t>Consider to change VCO raw dat fit method,  ploy methos not work well f the pn not follow 6db/oct rule</t>
  </si>
  <si>
    <t>fork 2.1 update  done 06/12 2015?</t>
  </si>
  <si>
    <t>6-23-2016 8am-16pm add MAX2769</t>
  </si>
  <si>
    <t xml:space="preserve">Fork from 2.1, copy from 2.1 6-25, GUI update more user friendly </t>
  </si>
  <si>
    <t>pork from 2.2 beta, 2769 ONLY , simplied for customer</t>
  </si>
  <si>
    <t>pwr</t>
  </si>
  <si>
    <t># out</t>
  </si>
  <si>
    <t>div</t>
  </si>
  <si>
    <t>icc</t>
  </si>
  <si>
    <t>1. depends on MIN/MAX freq and ref freq, user can change Fcomp to avoid, but maybe not all, only below cal result 0 works</t>
  </si>
  <si>
    <t>Har</t>
  </si>
  <si>
    <t>ref (MHz)</t>
  </si>
  <si>
    <t>Ref 1</t>
  </si>
  <si>
    <t>Ref 2</t>
  </si>
  <si>
    <t>Rdiv</t>
  </si>
  <si>
    <t>Fcomp (MHz)</t>
  </si>
  <si>
    <t>New Fcomp</t>
  </si>
  <si>
    <t>mod</t>
  </si>
  <si>
    <t>New Mod</t>
  </si>
  <si>
    <t>FB</t>
  </si>
  <si>
    <t>0=in loop, 1=not</t>
  </si>
  <si>
    <t>DIVA</t>
  </si>
  <si>
    <t>step require(MHz)</t>
  </si>
  <si>
    <t>input</t>
  </si>
  <si>
    <t>vco step(MHz)</t>
  </si>
  <si>
    <t>Freq_min/N+(F/M)</t>
  </si>
  <si>
    <t>New</t>
  </si>
  <si>
    <t>Freq_max/N+(F/M)</t>
  </si>
  <si>
    <t>Min Frac step</t>
  </si>
  <si>
    <t>check</t>
  </si>
  <si>
    <t>50k spur</t>
  </si>
  <si>
    <t>N-- Whole</t>
  </si>
  <si>
    <t>Frac</t>
  </si>
  <si>
    <t>freq out</t>
  </si>
  <si>
    <t>N+(F/M)</t>
  </si>
  <si>
    <t>New N</t>
  </si>
  <si>
    <t>New F</t>
  </si>
  <si>
    <t>old</t>
  </si>
  <si>
    <t>ne</t>
  </si>
  <si>
    <t>na</t>
  </si>
  <si>
    <t>Fcomp1</t>
  </si>
  <si>
    <t>Fcomp2</t>
  </si>
  <si>
    <t>exact step size</t>
  </si>
  <si>
    <t>window size(# of F)</t>
  </si>
  <si>
    <t>window MHz</t>
  </si>
  <si>
    <t>window size</t>
  </si>
  <si>
    <t>limit</t>
  </si>
  <si>
    <t>part number</t>
  </si>
  <si>
    <t>freq</t>
  </si>
  <si>
    <t>freq offset(Hz)</t>
  </si>
  <si>
    <t>overall real time</t>
  </si>
  <si>
    <t>vco open -real time</t>
  </si>
  <si>
    <t>open loop</t>
  </si>
  <si>
    <t>overall compare</t>
  </si>
  <si>
    <t>A</t>
  </si>
  <si>
    <t>B</t>
  </si>
  <si>
    <t>50M Fcomp</t>
  </si>
  <si>
    <t>100M Fcomp</t>
  </si>
  <si>
    <t>hp8267_sg _122.88</t>
  </si>
  <si>
    <t>MAX923_122.88_FUND</t>
  </si>
  <si>
    <t>MAX923_122.88_3TO</t>
  </si>
  <si>
    <t>HW19.2</t>
  </si>
  <si>
    <t>Eric10</t>
  </si>
  <si>
    <t>sg122p88</t>
  </si>
  <si>
    <t>eric-122.88M</t>
  </si>
  <si>
    <t>cust3</t>
  </si>
  <si>
    <t>eric-122.88-10</t>
  </si>
  <si>
    <t>asl3k50M</t>
  </si>
  <si>
    <t>cw122.88</t>
  </si>
  <si>
    <t>evk50</t>
  </si>
  <si>
    <t>asl10k</t>
  </si>
  <si>
    <t>External VCO</t>
  </si>
  <si>
    <t>name/pffset freq (kHz)</t>
  </si>
  <si>
    <t>kvco (MHz/V)</t>
  </si>
  <si>
    <t>fmin</t>
  </si>
  <si>
    <t>fmax</t>
  </si>
  <si>
    <t>V940ME28</t>
  </si>
  <si>
    <t>DXO11751220</t>
  </si>
  <si>
    <t>umx806</t>
  </si>
  <si>
    <t>ac-761</t>
  </si>
  <si>
    <t>cvss945</t>
  </si>
  <si>
    <t>vx-750</t>
  </si>
  <si>
    <t>opamp</t>
  </si>
  <si>
    <t>in (pA)</t>
  </si>
  <si>
    <t>in 1/f (kHZ)</t>
  </si>
  <si>
    <t>nv (nv)</t>
  </si>
  <si>
    <t>nv 1/f (kHZ)</t>
  </si>
  <si>
    <t>op184</t>
  </si>
  <si>
    <t>op2</t>
  </si>
  <si>
    <t>customer pll</t>
  </si>
  <si>
    <t>N_LL</t>
  </si>
  <si>
    <t>N HL</t>
  </si>
  <si>
    <t>FcomLL</t>
  </si>
  <si>
    <t>FcomHL</t>
  </si>
  <si>
    <t>FrefLL</t>
  </si>
  <si>
    <t>FrefHL</t>
  </si>
  <si>
    <t>Fvco LL</t>
  </si>
  <si>
    <t>FvcoHL</t>
  </si>
  <si>
    <t>Pll flat noise</t>
  </si>
  <si>
    <t>pll 1/f noise</t>
  </si>
  <si>
    <t>adf4001</t>
  </si>
  <si>
    <t>frac</t>
  </si>
  <si>
    <t>allowable PLL name</t>
  </si>
  <si>
    <t>VCO name</t>
  </si>
  <si>
    <t>0 -constant
1=3rd order</t>
  </si>
  <si>
    <t>constant</t>
  </si>
  <si>
    <t>c3</t>
  </si>
  <si>
    <t>c2</t>
  </si>
  <si>
    <t>c1</t>
  </si>
  <si>
    <t>c0</t>
  </si>
  <si>
    <t>0 -constant
1=fit</t>
  </si>
  <si>
    <t>1/ offset f(KHz)</t>
  </si>
  <si>
    <t>internal vco?</t>
  </si>
  <si>
    <t>kvco if applyed</t>
  </si>
  <si>
    <t>Regout</t>
  </si>
  <si>
    <t>MAX2870</t>
  </si>
  <si>
    <t>MAX2880</t>
  </si>
  <si>
    <t>MAX2871</t>
  </si>
  <si>
    <t>external</t>
  </si>
  <si>
    <t>MAX2875</t>
  </si>
  <si>
    <t>ADF5355</t>
  </si>
  <si>
    <t>temp2</t>
  </si>
  <si>
    <t>GUI used</t>
  </si>
  <si>
    <t>custom</t>
  </si>
  <si>
    <t>PLL input table</t>
  </si>
  <si>
    <t>frac=1
int=0</t>
  </si>
  <si>
    <t>low noise=1, low spur=0</t>
  </si>
  <si>
    <t>Limits</t>
  </si>
  <si>
    <t>1=DIVA, 0=na</t>
  </si>
  <si>
    <t>PLL flat noise
consatnt: just use DS fixed number 
3rd order: changes based on CPI, need to char the part at lab and use spreadsheet to do curve fit</t>
  </si>
  <si>
    <t>PLL 1/f noise</t>
  </si>
  <si>
    <t>0 or 1</t>
  </si>
  <si>
    <t>r3/c3 internal flag:
0: NO, LIKE2870
1: YES, LIKE2769</t>
  </si>
  <si>
    <t>R3 (k OHM)</t>
  </si>
  <si>
    <t>C3 (Nf)</t>
  </si>
  <si>
    <t>PLL</t>
  </si>
  <si>
    <t>mode</t>
  </si>
  <si>
    <t>mode2</t>
  </si>
  <si>
    <t>PLL index</t>
  </si>
  <si>
    <t>add act/pass??</t>
  </si>
  <si>
    <t>use int data</t>
  </si>
  <si>
    <t>flat 1/f data only for int</t>
  </si>
  <si>
    <t>fake data</t>
  </si>
  <si>
    <t>not input here, input at noise model input tab</t>
  </si>
  <si>
    <t>VCO and XVCO data located at raw tab</t>
  </si>
  <si>
    <t>N limit</t>
  </si>
  <si>
    <t>N LL</t>
  </si>
  <si>
    <t>N=</t>
  </si>
  <si>
    <t>HL</t>
  </si>
  <si>
    <t>N</t>
  </si>
  <si>
    <t>fcomp limit</t>
  </si>
  <si>
    <t>fcomp_LL</t>
  </si>
  <si>
    <t>fcmp=</t>
  </si>
  <si>
    <t>fref limit</t>
  </si>
  <si>
    <t>fref_LL</t>
  </si>
  <si>
    <t>Fref=</t>
  </si>
  <si>
    <t xml:space="preserve">Fvco </t>
  </si>
  <si>
    <t>LL</t>
  </si>
  <si>
    <t>Fvco</t>
  </si>
  <si>
    <t>R0</t>
  </si>
  <si>
    <t>R1</t>
  </si>
  <si>
    <t>R2</t>
  </si>
  <si>
    <t>R3</t>
  </si>
  <si>
    <t>R4</t>
  </si>
  <si>
    <t>R5</t>
  </si>
  <si>
    <t>bit</t>
  </si>
  <si>
    <t>value</t>
  </si>
  <si>
    <t>int</t>
  </si>
  <si>
    <t>CPOC</t>
  </si>
  <si>
    <t>LDS</t>
  </si>
  <si>
    <t>res_vco bias</t>
  </si>
  <si>
    <t xml:space="preserve">res </t>
  </si>
  <si>
    <t>n</t>
  </si>
  <si>
    <t>CPL</t>
  </si>
  <si>
    <t>SDN</t>
  </si>
  <si>
    <t>vas_SH</t>
  </si>
  <si>
    <t>res</t>
  </si>
  <si>
    <t>F01</t>
  </si>
  <si>
    <t>CPT</t>
  </si>
  <si>
    <t>mux</t>
  </si>
  <si>
    <t>RET</t>
  </si>
  <si>
    <t>bs msb</t>
  </si>
  <si>
    <t>LD</t>
  </si>
  <si>
    <t>addr</t>
  </si>
  <si>
    <t>P</t>
  </si>
  <si>
    <t>DBR</t>
  </si>
  <si>
    <t>fb</t>
  </si>
  <si>
    <t>rdiv2</t>
  </si>
  <si>
    <t>cmd</t>
  </si>
  <si>
    <t>diva</t>
  </si>
  <si>
    <t>MUXMSB</t>
  </si>
  <si>
    <t>R main</t>
  </si>
  <si>
    <t>cdiv</t>
  </si>
  <si>
    <t>BS VAS clk</t>
  </si>
  <si>
    <t>reg4db</t>
  </si>
  <si>
    <t>ICP</t>
  </si>
  <si>
    <t>BDIV</t>
  </si>
  <si>
    <t>ldf</t>
  </si>
  <si>
    <t>BOUT</t>
  </si>
  <si>
    <t>ldp</t>
  </si>
  <si>
    <t>BPWR</t>
  </si>
  <si>
    <t>PDP</t>
  </si>
  <si>
    <t>aOUT</t>
  </si>
  <si>
    <t>shdn</t>
  </si>
  <si>
    <t>aPWR</t>
  </si>
  <si>
    <t>tri</t>
  </si>
  <si>
    <t>RST</t>
  </si>
  <si>
    <t>,</t>
  </si>
  <si>
    <t>Write</t>
  </si>
  <si>
    <t>MUX</t>
  </si>
  <si>
    <t>N15-12</t>
  </si>
  <si>
    <t>N 11-0</t>
  </si>
  <si>
    <t>csr</t>
  </si>
  <si>
    <t>refsd</t>
  </si>
  <si>
    <t>Pre</t>
  </si>
  <si>
    <t>cdm</t>
  </si>
  <si>
    <t>RSTSD</t>
  </si>
  <si>
    <t>cdic</t>
  </si>
  <si>
    <t>R 9-5</t>
  </si>
  <si>
    <t>cpoc</t>
  </si>
  <si>
    <t>cpl</t>
  </si>
  <si>
    <t>R 4-0</t>
  </si>
  <si>
    <t>INT</t>
  </si>
  <si>
    <t>LDF</t>
  </si>
  <si>
    <t>LDP</t>
  </si>
  <si>
    <t>SHDN</t>
  </si>
  <si>
    <t>TRI</t>
  </si>
  <si>
    <t>Cnt rst</t>
  </si>
  <si>
    <t>cp(ma)</t>
  </si>
  <si>
    <t>calculated</t>
  </si>
  <si>
    <t>C3</t>
  </si>
  <si>
    <t>con vs cal switch</t>
  </si>
  <si>
    <t>FVCO</t>
  </si>
  <si>
    <t>Ref(MHz)</t>
  </si>
  <si>
    <t>R</t>
  </si>
  <si>
    <t>Rcomp(MHz)</t>
  </si>
  <si>
    <t>10logFcomp</t>
  </si>
  <si>
    <t>20logN=</t>
  </si>
  <si>
    <t>FOM=</t>
  </si>
  <si>
    <t>inband-flat</t>
  </si>
  <si>
    <t>cheat flat</t>
  </si>
  <si>
    <t>fom</t>
  </si>
  <si>
    <t>1/f</t>
  </si>
  <si>
    <t>cheat 1/f</t>
  </si>
  <si>
    <t>1/f 10k nom:</t>
  </si>
  <si>
    <t>close loop inband</t>
  </si>
  <si>
    <t>low pass</t>
  </si>
  <si>
    <t>high pass</t>
  </si>
  <si>
    <t>filter vcxo</t>
  </si>
  <si>
    <t>num_freq</t>
  </si>
  <si>
    <t>in/out</t>
  </si>
  <si>
    <t>int_LL</t>
  </si>
  <si>
    <t>int_hl</t>
  </si>
  <si>
    <t>freq offset(kHz)</t>
  </si>
  <si>
    <t>vco-open</t>
  </si>
  <si>
    <t>vcxo</t>
  </si>
  <si>
    <t>sdm</t>
  </si>
  <si>
    <t>r2</t>
  </si>
  <si>
    <t>r3</t>
  </si>
  <si>
    <t>overall</t>
  </si>
  <si>
    <t>overall_div</t>
  </si>
  <si>
    <t>LIMIT</t>
  </si>
  <si>
    <t>K</t>
  </si>
  <si>
    <t>const_integ</t>
  </si>
  <si>
    <t>FM</t>
  </si>
  <si>
    <t>dB DSB</t>
  </si>
  <si>
    <t>out ref spur</t>
  </si>
  <si>
    <t>degree</t>
  </si>
  <si>
    <t>CALCULATE MISSNG  POINTs</t>
  </si>
  <si>
    <t>freq(KHz)</t>
  </si>
  <si>
    <t>PN (dBc/Hz)</t>
  </si>
  <si>
    <t>new freq</t>
  </si>
  <si>
    <t>new PN</t>
  </si>
  <si>
    <t>FOM should be function of CP current, DS showed best number under cp=5mA, need to get more data point
setup trick:
1. need clean DC power (op amp driven by E5052 DC power, otherwise the VCXO noise (due to dirty DC power ) dominate</t>
  </si>
  <si>
    <t>fcomp=</t>
  </si>
  <si>
    <t>PN_flat-100k</t>
  </si>
  <si>
    <t>PN_1Hz</t>
  </si>
  <si>
    <t>1/f 1K</t>
  </si>
  <si>
    <t>calued 10K</t>
  </si>
  <si>
    <t>1/f meas 10k</t>
  </si>
  <si>
    <t>loop filter used</t>
  </si>
  <si>
    <t>5-1111</t>
  </si>
  <si>
    <t>3.9n</t>
  </si>
  <si>
    <t>linear</t>
  </si>
  <si>
    <t>4-1100</t>
  </si>
  <si>
    <t>3-1000</t>
  </si>
  <si>
    <t>ltc6946</t>
  </si>
  <si>
    <t>customer measure unknown linear part</t>
  </si>
  <si>
    <t>2-0101</t>
  </si>
  <si>
    <t>calculate</t>
  </si>
  <si>
    <t>1-0010</t>
  </si>
  <si>
    <t>0.3-min</t>
  </si>
  <si>
    <t>1n</t>
  </si>
  <si>
    <t>ICP unit</t>
  </si>
  <si>
    <t>code</t>
  </si>
  <si>
    <t>ICP (mA)</t>
  </si>
  <si>
    <t>cpi</t>
  </si>
  <si>
    <t>PLL flat noise</t>
  </si>
  <si>
    <t>cal</t>
  </si>
  <si>
    <t>INPUT raw TCXO PN data here:</t>
  </si>
  <si>
    <t>153 tcx w/o any cap load</t>
  </si>
  <si>
    <t>off set freq(Khz)</t>
  </si>
  <si>
    <t>40_mea_evk</t>
  </si>
  <si>
    <t>50_mea_evk</t>
  </si>
  <si>
    <t>&lt;-------------------</t>
  </si>
  <si>
    <t>input RAW TCXOat "noise model input " tab</t>
  </si>
  <si>
    <t>index</t>
  </si>
  <si>
    <t>0.1</t>
  </si>
  <si>
    <t>1</t>
  </si>
  <si>
    <t>10</t>
  </si>
  <si>
    <t>100</t>
  </si>
  <si>
    <t>1000</t>
  </si>
  <si>
    <t>do not delete</t>
  </si>
  <si>
    <t>&lt;-------------------------</t>
  </si>
  <si>
    <t>this section calculate missing point, do NOT touch</t>
  </si>
  <si>
    <t>2870 61.44 put</t>
  </si>
  <si>
    <t>e8267d output</t>
  </si>
  <si>
    <t>4</t>
  </si>
  <si>
    <t>20</t>
  </si>
  <si>
    <t>40</t>
  </si>
  <si>
    <t>80</t>
  </si>
  <si>
    <t>200</t>
  </si>
  <si>
    <t>400</t>
  </si>
  <si>
    <t>selection</t>
  </si>
  <si>
    <t>&lt;------------------------------------------------------------------------------------------------------------------</t>
  </si>
  <si>
    <t>this section chosse the PN profile based on model selected, do NOT touch</t>
  </si>
  <si>
    <t>cheat</t>
  </si>
  <si>
    <t>adi4350</t>
  </si>
  <si>
    <t>adi4,350</t>
  </si>
  <si>
    <t>hmc 883</t>
  </si>
  <si>
    <t>freq(kHz)</t>
  </si>
  <si>
    <t>ds-3G</t>
  </si>
  <si>
    <t>ior2-3.3g</t>
  </si>
  <si>
    <t>ds-4.5G</t>
  </si>
  <si>
    <t>ior2-4.4g</t>
  </si>
  <si>
    <t>ds-6G</t>
  </si>
  <si>
    <t>2.2G, ds</t>
  </si>
  <si>
    <t>2.2G meas ior-mv</t>
  </si>
  <si>
    <t>2.2G meas jl</t>
  </si>
  <si>
    <t>3.3G, ds</t>
  </si>
  <si>
    <t>3.3G meas wv29_ior2 mv</t>
  </si>
  <si>
    <t>3.3G meas jl</t>
  </si>
  <si>
    <t>4.4G ds</t>
  </si>
  <si>
    <t>4.4G meas-ior mv</t>
  </si>
  <si>
    <t>4.4G meas jl</t>
  </si>
  <si>
    <t>4G 2LO</t>
  </si>
  <si>
    <t>ol</t>
  </si>
  <si>
    <t>filt</t>
  </si>
  <si>
    <t>Selected</t>
  </si>
  <si>
    <t>&lt;--- selected data</t>
  </si>
  <si>
    <t>freq off (K)</t>
  </si>
  <si>
    <t>&lt;-effective max2870 vco noise</t>
  </si>
  <si>
    <t>fit-curve</t>
  </si>
  <si>
    <t>vco cheat</t>
  </si>
  <si>
    <t>&lt;--</t>
  </si>
  <si>
    <t>freq vco</t>
  </si>
  <si>
    <t>vco freq&gt;</t>
  </si>
  <si>
    <t>this section do 2nd order fit curve base on known data, the coff is from other tool , M$ excel ...</t>
  </si>
  <si>
    <t>2870 cal</t>
  </si>
  <si>
    <t>calulated</t>
  </si>
  <si>
    <t>internal vco</t>
  </si>
  <si>
    <t>Frac/int (1/0)</t>
  </si>
  <si>
    <t>&lt;-turn off SDM for int mode</t>
  </si>
  <si>
    <t>fcomp</t>
  </si>
  <si>
    <t>order</t>
  </si>
  <si>
    <t>f</t>
  </si>
  <si>
    <t>Fcomp_MHz)</t>
  </si>
  <si>
    <t>Switch</t>
  </si>
  <si>
    <t>C1/C2/R2 up</t>
  </si>
  <si>
    <t>C1/C2/R2 dn</t>
  </si>
  <si>
    <t>C1/C2/R2</t>
  </si>
  <si>
    <t xml:space="preserve">z2_r3 </t>
  </si>
  <si>
    <t>Active filter impdeance</t>
  </si>
  <si>
    <t>passive=</t>
  </si>
  <si>
    <t>re-a</t>
  </si>
  <si>
    <t>im-b</t>
  </si>
  <si>
    <t>re-c</t>
  </si>
  <si>
    <t>im-d</t>
  </si>
  <si>
    <t>re</t>
  </si>
  <si>
    <t>im</t>
  </si>
  <si>
    <t>KVCO(MHz/V)</t>
  </si>
  <si>
    <t>&lt;&lt;-- result only work when pass=0 !!!</t>
  </si>
  <si>
    <t>t3t1_%</t>
  </si>
  <si>
    <t>BW(KHz)</t>
  </si>
  <si>
    <t>PM(degree)</t>
  </si>
  <si>
    <t>PM(rad)</t>
  </si>
  <si>
    <t>w_bw</t>
  </si>
  <si>
    <t>1/cos_pm</t>
  </si>
  <si>
    <t>tan_pm</t>
  </si>
  <si>
    <t>T1</t>
  </si>
  <si>
    <t>1+Wbt^2+T1^2</t>
  </si>
  <si>
    <t>R3 scale</t>
  </si>
  <si>
    <t>T2</t>
  </si>
  <si>
    <t>switch</t>
  </si>
  <si>
    <t>T3</t>
  </si>
  <si>
    <t>R3/C3 INTERNAL</t>
  </si>
  <si>
    <t>2*pi*c</t>
  </si>
  <si>
    <t>C(pF) R (Kohm)</t>
  </si>
  <si>
    <t>frz filter 
C(pF) R (Kohm)</t>
  </si>
  <si>
    <t>&lt;frexxed</t>
  </si>
  <si>
    <t>exact calculated</t>
  </si>
  <si>
    <t>round up</t>
  </si>
  <si>
    <t>C1</t>
  </si>
  <si>
    <t>C2</t>
  </si>
  <si>
    <t>Hz</t>
  </si>
  <si>
    <t>hp</t>
  </si>
  <si>
    <t>Z_2pole_up</t>
  </si>
  <si>
    <t>Z_2pole_dn</t>
  </si>
  <si>
    <t>Z_2ploe</t>
  </si>
  <si>
    <t>Z-3ploe_up</t>
  </si>
  <si>
    <t>Z-3ploe_dn</t>
  </si>
  <si>
    <t>Z_3ploe</t>
  </si>
  <si>
    <t>loop filter impd passive</t>
  </si>
  <si>
    <t>X ICP and KVCO</t>
  </si>
  <si>
    <t>1/s</t>
  </si>
  <si>
    <t>for loop gain</t>
  </si>
  <si>
    <t>G_OL</t>
  </si>
  <si>
    <t>1+OL</t>
  </si>
  <si>
    <t>G_CL</t>
  </si>
  <si>
    <t>amp_OL</t>
  </si>
  <si>
    <t>phase_Ol</t>
  </si>
  <si>
    <t>amp_ol_db</t>
  </si>
  <si>
    <t>amp_CL</t>
  </si>
  <si>
    <t>amp_Cl_db</t>
  </si>
  <si>
    <t>noise gain vco</t>
  </si>
  <si>
    <t>noise gain vco amp</t>
  </si>
  <si>
    <t>Lp</t>
  </si>
  <si>
    <t>HP</t>
  </si>
  <si>
    <t>OLGain</t>
  </si>
  <si>
    <t>OLPhase</t>
  </si>
  <si>
    <t>re1</t>
  </si>
  <si>
    <t>im1</t>
  </si>
  <si>
    <t>y=a*(x/b)^n</t>
  </si>
  <si>
    <t>a</t>
  </si>
  <si>
    <t>b</t>
  </si>
  <si>
    <t>n-slope</t>
  </si>
  <si>
    <t>x--fc</t>
  </si>
  <si>
    <t>gain</t>
  </si>
  <si>
    <t>phase</t>
  </si>
  <si>
    <t>PM</t>
  </si>
  <si>
    <t>fcomp(kHz)</t>
  </si>
  <si>
    <t>find cross over</t>
  </si>
  <si>
    <t>expand to 100M</t>
  </si>
  <si>
    <t>change back</t>
  </si>
  <si>
    <t>Table 10% step</t>
  </si>
  <si>
    <t>Table 20% step</t>
  </si>
  <si>
    <t>offset</t>
  </si>
  <si>
    <t>min--0.3</t>
  </si>
  <si>
    <t>max 3</t>
  </si>
  <si>
    <t>_R noise switch</t>
  </si>
  <si>
    <t>see below row 35</t>
  </si>
  <si>
    <t>already adding fm factor here</t>
  </si>
  <si>
    <t>Old</t>
  </si>
  <si>
    <t>to add switch for active/passive R3 cal</t>
  </si>
  <si>
    <t>new</t>
  </si>
  <si>
    <t>new r3 calculation</t>
  </si>
  <si>
    <t>&lt;-- from GUI</t>
  </si>
  <si>
    <t>passive</t>
  </si>
  <si>
    <t>r2_up</t>
  </si>
  <si>
    <t>r2_dn_re</t>
  </si>
  <si>
    <t>r2_dn_img</t>
  </si>
  <si>
    <t>R2 noise pass/activ</t>
  </si>
  <si>
    <t>switchable</t>
  </si>
  <si>
    <t>R3 noise</t>
  </si>
  <si>
    <t>Z1_r3,
except R3</t>
  </si>
  <si>
    <t>good</t>
  </si>
  <si>
    <t>z2_r3</t>
  </si>
  <si>
    <t>Z1_r3 plus R3+Z2r3</t>
  </si>
  <si>
    <t>or R3 response down</t>
  </si>
  <si>
    <t>R3 response</t>
  </si>
  <si>
    <t>&lt;&lt;- for both active and passive switchable</t>
  </si>
  <si>
    <t>R3 response mag</t>
  </si>
  <si>
    <t>opoamp noise</t>
  </si>
  <si>
    <t>opamp _pre_flt_mag</t>
  </si>
  <si>
    <t>mag</t>
  </si>
  <si>
    <t>&lt;- select</t>
  </si>
  <si>
    <t>z1_r4_up</t>
  </si>
  <si>
    <t>z1_r4_dn</t>
  </si>
  <si>
    <t>z1_r4</t>
  </si>
  <si>
    <t>opi_vrms</t>
  </si>
  <si>
    <t>opv_vrms</t>
  </si>
  <si>
    <t>mag_ohm</t>
  </si>
  <si>
    <t>total_rms</t>
  </si>
  <si>
    <t>opa</t>
  </si>
  <si>
    <t>0</t>
  </si>
  <si>
    <t>-2</t>
  </si>
  <si>
    <t>983.04</t>
  </si>
  <si>
    <t/>
  </si>
  <si>
    <t>2949.12</t>
  </si>
  <si>
    <t>256</t>
  </si>
  <si>
    <t>228</t>
  </si>
  <si>
    <t>26</t>
  </si>
  <si>
    <t>29</t>
  </si>
  <si>
    <t>164</t>
  </si>
  <si>
    <t>1575</t>
  </si>
  <si>
    <t>freeze</t>
  </si>
  <si>
    <t>filter4</t>
  </si>
  <si>
    <t>Sim result: Integrated Phase noise</t>
  </si>
  <si>
    <t>MAX2771_hi</t>
  </si>
  <si>
    <t>MAX2771_lo</t>
  </si>
  <si>
    <t>50KHz/60deg/0.5ma</t>
  </si>
  <si>
    <t>30KHz/60deg/0.5ma</t>
  </si>
  <si>
    <t>10KHz/60deg/0.5mA</t>
  </si>
  <si>
    <t>EVKIT values</t>
  </si>
  <si>
    <t>xtal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</si>
</sst>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"/>
    <numFmt numFmtId="165" formatCode="#,##0.0"/>
    <numFmt numFmtId="166" formatCode="#,##0.00000"/>
    <numFmt numFmtId="167" formatCode="m\-d"/>
    <numFmt numFmtId="168" formatCode="#,##0.0000"/>
    <numFmt numFmtId="169" formatCode=";;;"/>
  </numFmts>
  <fonts count="46">
    <font>
      <sz val="10"/>
      <color rgb="FF000000"/>
      <name val="Arial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color rgb="FF9900FF"/>
      <name val="Arial"/>
      <family val="2"/>
    </font>
    <font>
      <b/>
      <sz val="8"/>
      <name val="Arial"/>
      <family val="2"/>
    </font>
    <font>
      <sz val="8"/>
      <color rgb="FFFFFFFF"/>
      <name val="Arial"/>
      <family val="2"/>
    </font>
    <font>
      <b/>
      <sz val="10"/>
      <color rgb="FFFFFFFF"/>
      <name val="Arial"/>
      <family val="2"/>
    </font>
    <font>
      <b/>
      <sz val="9"/>
      <name val="Arial"/>
      <family val="2"/>
    </font>
    <font>
      <sz val="10"/>
      <color rgb="FFFFFFFF"/>
      <name val="Arial"/>
      <family val="2"/>
    </font>
    <font>
      <sz val="6"/>
      <color rgb="FFFFFFFF"/>
      <name val="Arial"/>
      <family val="2"/>
    </font>
    <font>
      <sz val="10"/>
      <color rgb="FFFFFFFF"/>
      <name val="Arial"/>
      <family val="2"/>
    </font>
    <font>
      <sz val="9"/>
      <color rgb="FFCCCCCC"/>
      <name val="Arial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sz val="10"/>
      <color rgb="FF999999"/>
      <name val="Arial"/>
      <family val="2"/>
    </font>
    <font>
      <sz val="7"/>
      <color rgb="FFB7B7B7"/>
      <name val="Arial"/>
      <family val="2"/>
    </font>
    <font>
      <sz val="9"/>
      <color rgb="FFFFFFFF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14"/>
      <color rgb="FFFFFFFF"/>
      <name val="Arial"/>
      <family val="2"/>
    </font>
    <font>
      <sz val="10"/>
      <color rgb="FFD9D9D9"/>
      <name val="Arial"/>
      <family val="2"/>
    </font>
    <font>
      <b/>
      <sz val="10"/>
      <color rgb="FFD9D9D9"/>
      <name val="Arial"/>
      <family val="2"/>
    </font>
    <font>
      <sz val="10"/>
      <color rgb="FFB7B7B7"/>
      <name val="Arial"/>
      <family val="2"/>
    </font>
    <font>
      <strike/>
      <sz val="1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00"/>
      <name val="Arial"/>
      <family val="2"/>
    </font>
    <font>
      <b/>
      <sz val="10"/>
      <color rgb="FF000000"/>
      <name val="Arial"/>
      <family val="2"/>
    </font>
    <font>
      <b/>
      <sz val="18"/>
      <name val="Arial"/>
      <family val="2"/>
    </font>
    <font>
      <sz val="10"/>
      <name val="Courier New"/>
      <family val="3"/>
    </font>
    <font>
      <sz val="11"/>
      <color rgb="FF000000"/>
      <name val="Calibri"/>
      <family val="2"/>
    </font>
    <font>
      <sz val="14"/>
      <color rgb="FFFF0000"/>
      <name val="Arial"/>
      <family val="2"/>
    </font>
    <font>
      <sz val="11"/>
      <color rgb="FF000000"/>
      <name val="Inconsolata"/>
    </font>
    <font>
      <b/>
      <sz val="11"/>
      <color rgb="FF000000"/>
      <name val="Calibri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FCE5CD"/>
        <bgColor rgb="FFFCE5CD"/>
      </patternFill>
    </fill>
    <fill>
      <patternFill patternType="solid">
        <fgColor rgb="FF00FF00"/>
        <bgColor rgb="FF00FF00"/>
      </patternFill>
    </fill>
    <fill>
      <patternFill patternType="solid">
        <fgColor rgb="FFFF9900"/>
        <bgColor rgb="FFFF9900"/>
      </patternFill>
    </fill>
    <fill>
      <patternFill patternType="solid">
        <fgColor rgb="FFD9EAD3"/>
        <bgColor rgb="FFD9EAD3"/>
      </patternFill>
    </fill>
    <fill>
      <patternFill patternType="solid">
        <fgColor rgb="FFD9D9D9"/>
        <bgColor rgb="FFD9D9D9"/>
      </patternFill>
    </fill>
    <fill>
      <patternFill patternType="solid">
        <fgColor rgb="FFCFE2F3"/>
        <bgColor rgb="FFCFE2F3"/>
      </patternFill>
    </fill>
    <fill>
      <patternFill patternType="solid">
        <fgColor rgb="FFCCCCCC"/>
        <bgColor rgb="FFCCCCCC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D9D2E9"/>
        <bgColor rgb="FFD9D2E9"/>
      </patternFill>
    </fill>
    <fill>
      <patternFill patternType="solid">
        <fgColor rgb="FFD5A6BD"/>
        <bgColor rgb="FFD5A6BD"/>
      </patternFill>
    </fill>
    <fill>
      <patternFill patternType="solid">
        <fgColor rgb="FFEAD1DC"/>
        <bgColor rgb="FFEAD1DC"/>
      </patternFill>
    </fill>
    <fill>
      <patternFill patternType="solid">
        <fgColor rgb="FF434343"/>
        <bgColor rgb="FF434343"/>
      </patternFill>
    </fill>
    <fill>
      <patternFill patternType="solid">
        <fgColor rgb="FF666666"/>
        <bgColor rgb="FF666666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rgb="FFD0E0E3"/>
        <bgColor rgb="FFD0E0E3"/>
      </patternFill>
    </fill>
    <fill>
      <patternFill patternType="solid">
        <fgColor rgb="FFB6D7A8"/>
        <bgColor rgb="FFB6D7A8"/>
      </patternFill>
    </fill>
    <fill>
      <patternFill patternType="solid">
        <fgColor rgb="FFA2C4C9"/>
        <bgColor rgb="FFA2C4C9"/>
      </patternFill>
    </fill>
    <fill>
      <patternFill patternType="solid">
        <fgColor rgb="FFB4A7D6"/>
        <bgColor rgb="FFB4A7D6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C9DAF8"/>
      </patternFill>
    </fill>
  </fills>
  <borders count="37">
    <border>
      <left/>
      <right/>
      <top/>
      <bottom/>
      <diagonal/>
    </border>
    <border>
      <left style="thin">
        <color rgb="FFFF9900"/>
      </left>
      <right/>
      <top style="thin">
        <color rgb="FFFF9900"/>
      </top>
      <bottom/>
      <diagonal/>
    </border>
    <border>
      <left/>
      <right/>
      <top style="thin">
        <color rgb="FFFF9900"/>
      </top>
      <bottom/>
      <diagonal/>
    </border>
    <border>
      <left/>
      <right style="thin">
        <color rgb="FFFF9900"/>
      </right>
      <top style="thin">
        <color rgb="FFFF9900"/>
      </top>
      <bottom/>
      <diagonal/>
    </border>
    <border>
      <left style="thin">
        <color rgb="FFFF99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FF"/>
      </right>
      <top style="thin">
        <color rgb="FF000000"/>
      </top>
      <bottom/>
      <diagonal/>
    </border>
    <border>
      <left style="thin">
        <color rgb="FF0000FF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FF"/>
      </right>
      <top/>
      <bottom style="thin">
        <color rgb="FF0000FF"/>
      </bottom>
      <diagonal/>
    </border>
    <border>
      <left style="thin">
        <color rgb="FF0000FF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2" fillId="0" borderId="0"/>
  </cellStyleXfs>
  <cellXfs count="510">
    <xf numFmtId="0" fontId="0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3" fontId="2" fillId="0" borderId="0" xfId="0" applyNumberFormat="1" applyFont="1" applyAlignment="1">
      <alignment horizontal="left" wrapText="1"/>
    </xf>
    <xf numFmtId="0" fontId="2" fillId="0" borderId="7" xfId="0" applyFont="1" applyBorder="1" applyAlignment="1">
      <alignment wrapText="1"/>
    </xf>
    <xf numFmtId="0" fontId="3" fillId="0" borderId="0" xfId="0" applyFont="1" applyAlignment="1">
      <alignment wrapText="1"/>
    </xf>
    <xf numFmtId="0" fontId="2" fillId="0" borderId="9" xfId="0" applyFont="1" applyBorder="1" applyAlignment="1">
      <alignment wrapText="1"/>
    </xf>
    <xf numFmtId="0" fontId="7" fillId="0" borderId="10" xfId="0" applyFont="1" applyBorder="1" applyAlignment="1">
      <alignment horizontal="left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3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11" fillId="0" borderId="11" xfId="0" applyFont="1" applyBorder="1" applyAlignment="1">
      <alignment wrapText="1"/>
    </xf>
    <xf numFmtId="0" fontId="5" fillId="0" borderId="0" xfId="0" applyFont="1" applyAlignment="1">
      <alignment horizontal="left" wrapText="1"/>
    </xf>
    <xf numFmtId="165" fontId="5" fillId="0" borderId="0" xfId="0" applyNumberFormat="1" applyFont="1" applyAlignment="1">
      <alignment horizontal="left" wrapText="1"/>
    </xf>
    <xf numFmtId="0" fontId="2" fillId="0" borderId="12" xfId="0" applyFont="1" applyBorder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0" borderId="12" xfId="0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9" xfId="0" applyFont="1" applyBorder="1" applyAlignment="1">
      <alignment horizontal="left"/>
    </xf>
    <xf numFmtId="0" fontId="5" fillId="4" borderId="0" xfId="0" applyFont="1" applyFill="1" applyAlignment="1">
      <alignment horizontal="left"/>
    </xf>
    <xf numFmtId="0" fontId="17" fillId="4" borderId="0" xfId="0" applyFont="1" applyFill="1" applyAlignment="1">
      <alignment horizontal="left"/>
    </xf>
    <xf numFmtId="0" fontId="18" fillId="4" borderId="0" xfId="0" applyFont="1" applyFill="1" applyAlignment="1">
      <alignment horizontal="left"/>
    </xf>
    <xf numFmtId="165" fontId="10" fillId="4" borderId="0" xfId="0" applyNumberFormat="1" applyFont="1" applyFill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0" xfId="0" applyFont="1" applyAlignment="1">
      <alignment horizontal="left"/>
    </xf>
    <xf numFmtId="10" fontId="2" fillId="0" borderId="7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3" xfId="0" applyFont="1" applyBorder="1" applyAlignment="1">
      <alignment horizontal="left" wrapText="1"/>
    </xf>
    <xf numFmtId="0" fontId="10" fillId="4" borderId="12" xfId="0" applyFont="1" applyFill="1" applyBorder="1" applyAlignment="1">
      <alignment horizontal="left" wrapText="1"/>
    </xf>
    <xf numFmtId="0" fontId="12" fillId="0" borderId="0" xfId="0" applyFont="1" applyAlignment="1">
      <alignment horizontal="left" wrapText="1"/>
    </xf>
    <xf numFmtId="166" fontId="14" fillId="0" borderId="13" xfId="0" applyNumberFormat="1" applyFont="1" applyBorder="1" applyAlignment="1">
      <alignment horizontal="left" wrapText="1"/>
    </xf>
    <xf numFmtId="0" fontId="2" fillId="0" borderId="15" xfId="0" applyFont="1" applyBorder="1" applyAlignment="1">
      <alignment horizontal="left" wrapText="1"/>
    </xf>
    <xf numFmtId="0" fontId="2" fillId="0" borderId="16" xfId="0" applyFont="1" applyBorder="1" applyAlignment="1">
      <alignment horizontal="left" wrapText="1"/>
    </xf>
    <xf numFmtId="0" fontId="12" fillId="4" borderId="0" xfId="0" applyFont="1" applyFill="1" applyAlignment="1">
      <alignment horizontal="left" wrapText="1"/>
    </xf>
    <xf numFmtId="0" fontId="2" fillId="4" borderId="11" xfId="0" applyFont="1" applyFill="1" applyBorder="1" applyAlignment="1">
      <alignment horizontal="left" wrapText="1"/>
    </xf>
    <xf numFmtId="0" fontId="2" fillId="0" borderId="14" xfId="0" applyFont="1" applyBorder="1" applyAlignment="1">
      <alignment horizontal="left" wrapText="1"/>
    </xf>
    <xf numFmtId="0" fontId="2" fillId="0" borderId="19" xfId="0" applyFont="1" applyBorder="1" applyAlignment="1">
      <alignment horizontal="left" wrapText="1"/>
    </xf>
    <xf numFmtId="0" fontId="3" fillId="0" borderId="17" xfId="0" applyFont="1" applyBorder="1" applyAlignment="1">
      <alignment horizontal="left" wrapText="1"/>
    </xf>
    <xf numFmtId="0" fontId="2" fillId="0" borderId="20" xfId="0" applyFont="1" applyBorder="1" applyAlignment="1">
      <alignment wrapText="1"/>
    </xf>
    <xf numFmtId="0" fontId="2" fillId="0" borderId="13" xfId="0" applyFont="1" applyBorder="1" applyAlignment="1">
      <alignment horizontal="left" wrapText="1"/>
    </xf>
    <xf numFmtId="0" fontId="2" fillId="4" borderId="22" xfId="0" applyFont="1" applyFill="1" applyBorder="1" applyAlignment="1">
      <alignment horizontal="left" wrapText="1"/>
    </xf>
    <xf numFmtId="0" fontId="10" fillId="4" borderId="7" xfId="0" applyFont="1" applyFill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2" fillId="0" borderId="23" xfId="0" applyFont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2" fillId="0" borderId="24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1" fillId="0" borderId="0" xfId="0" applyFont="1" applyAlignment="1">
      <alignment horizontal="left" wrapText="1"/>
    </xf>
    <xf numFmtId="0" fontId="2" fillId="0" borderId="6" xfId="0" applyFont="1" applyBorder="1" applyAlignment="1">
      <alignment horizontal="left" wrapText="1"/>
    </xf>
    <xf numFmtId="4" fontId="12" fillId="0" borderId="7" xfId="0" applyNumberFormat="1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4" fontId="2" fillId="0" borderId="0" xfId="0" applyNumberFormat="1" applyFont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22" fillId="0" borderId="12" xfId="0" applyFont="1" applyBorder="1" applyAlignment="1">
      <alignment horizontal="left" wrapText="1"/>
    </xf>
    <xf numFmtId="4" fontId="2" fillId="0" borderId="9" xfId="0" applyNumberFormat="1" applyFont="1" applyBorder="1" applyAlignment="1">
      <alignment horizontal="left" wrapText="1"/>
    </xf>
    <xf numFmtId="0" fontId="23" fillId="0" borderId="9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12" fillId="0" borderId="9" xfId="0" applyFont="1" applyBorder="1" applyAlignment="1">
      <alignment horizontal="left" wrapText="1"/>
    </xf>
    <xf numFmtId="0" fontId="12" fillId="0" borderId="7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0" fillId="0" borderId="9" xfId="0" applyFont="1" applyBorder="1" applyAlignment="1">
      <alignment horizontal="left" wrapText="1"/>
    </xf>
    <xf numFmtId="4" fontId="10" fillId="0" borderId="0" xfId="0" applyNumberFormat="1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14" fillId="0" borderId="13" xfId="0" applyFont="1" applyBorder="1" applyAlignment="1">
      <alignment horizontal="left" wrapText="1"/>
    </xf>
    <xf numFmtId="3" fontId="14" fillId="0" borderId="13" xfId="0" applyNumberFormat="1" applyFont="1" applyBorder="1" applyAlignment="1">
      <alignment horizontal="left" wrapText="1"/>
    </xf>
    <xf numFmtId="0" fontId="5" fillId="0" borderId="7" xfId="0" applyFont="1" applyBorder="1" applyAlignment="1">
      <alignment wrapText="1"/>
    </xf>
    <xf numFmtId="0" fontId="2" fillId="0" borderId="23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14" fillId="0" borderId="0" xfId="0" applyFont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top" wrapText="1"/>
    </xf>
    <xf numFmtId="0" fontId="2" fillId="0" borderId="13" xfId="0" applyFont="1" applyBorder="1" applyAlignment="1">
      <alignment wrapText="1"/>
    </xf>
    <xf numFmtId="0" fontId="2" fillId="4" borderId="0" xfId="0" applyFont="1" applyFill="1" applyAlignment="1">
      <alignment wrapText="1"/>
    </xf>
    <xf numFmtId="0" fontId="5" fillId="0" borderId="11" xfId="0" applyFont="1" applyBorder="1" applyAlignment="1">
      <alignment horizontal="left" wrapText="1"/>
    </xf>
    <xf numFmtId="0" fontId="5" fillId="2" borderId="11" xfId="0" applyFont="1" applyFill="1" applyBorder="1" applyAlignment="1">
      <alignment horizontal="left" wrapText="1"/>
    </xf>
    <xf numFmtId="4" fontId="5" fillId="0" borderId="11" xfId="0" applyNumberFormat="1" applyFont="1" applyBorder="1" applyAlignment="1">
      <alignment horizontal="left" wrapText="1"/>
    </xf>
    <xf numFmtId="0" fontId="2" fillId="0" borderId="0" xfId="0" applyFont="1" applyAlignment="1">
      <alignment wrapText="1"/>
    </xf>
    <xf numFmtId="3" fontId="5" fillId="0" borderId="11" xfId="0" applyNumberFormat="1" applyFont="1" applyBorder="1" applyAlignment="1">
      <alignment horizontal="left" wrapText="1"/>
    </xf>
    <xf numFmtId="0" fontId="21" fillId="0" borderId="9" xfId="0" applyFont="1" applyBorder="1" applyAlignment="1">
      <alignment horizontal="left" wrapText="1"/>
    </xf>
    <xf numFmtId="0" fontId="29" fillId="4" borderId="9" xfId="0" applyFont="1" applyFill="1" applyBorder="1" applyAlignment="1">
      <alignment horizontal="left" wrapText="1"/>
    </xf>
    <xf numFmtId="0" fontId="29" fillId="4" borderId="0" xfId="0" applyFont="1" applyFill="1" applyAlignment="1">
      <alignment horizontal="left" wrapText="1"/>
    </xf>
    <xf numFmtId="0" fontId="29" fillId="4" borderId="0" xfId="0" applyFont="1" applyFill="1" applyAlignment="1">
      <alignment horizontal="left" wrapText="1"/>
    </xf>
    <xf numFmtId="0" fontId="28" fillId="0" borderId="0" xfId="0" applyFont="1" applyAlignment="1">
      <alignment horizontal="left" vertical="top" wrapText="1"/>
    </xf>
    <xf numFmtId="0" fontId="27" fillId="0" borderId="0" xfId="0" applyFont="1" applyAlignment="1">
      <alignment horizontal="left" wrapText="1"/>
    </xf>
    <xf numFmtId="0" fontId="3" fillId="6" borderId="0" xfId="0" applyFont="1" applyFill="1" applyAlignment="1">
      <alignment horizontal="left" vertical="top" wrapText="1"/>
    </xf>
    <xf numFmtId="0" fontId="29" fillId="0" borderId="9" xfId="0" applyFont="1" applyBorder="1" applyAlignment="1">
      <alignment horizontal="left" wrapText="1"/>
    </xf>
    <xf numFmtId="0" fontId="29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0" fillId="0" borderId="0" xfId="0" applyFont="1" applyAlignment="1">
      <alignment horizontal="left" wrapText="1"/>
    </xf>
    <xf numFmtId="0" fontId="3" fillId="7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167" fontId="2" fillId="0" borderId="0" xfId="0" applyNumberFormat="1" applyFont="1" applyAlignment="1">
      <alignment horizontal="left" wrapText="1"/>
    </xf>
    <xf numFmtId="0" fontId="2" fillId="0" borderId="11" xfId="0" applyFont="1" applyBorder="1" applyAlignment="1">
      <alignment wrapText="1"/>
    </xf>
    <xf numFmtId="0" fontId="2" fillId="8" borderId="11" xfId="0" applyFont="1" applyFill="1" applyBorder="1" applyAlignment="1">
      <alignment horizontal="left" wrapText="1"/>
    </xf>
    <xf numFmtId="0" fontId="2" fillId="8" borderId="11" xfId="0" applyFont="1" applyFill="1" applyBorder="1" applyAlignment="1">
      <alignment horizontal="left" wrapText="1"/>
    </xf>
    <xf numFmtId="0" fontId="3" fillId="0" borderId="11" xfId="0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2" fillId="5" borderId="0" xfId="0" applyFont="1" applyFill="1" applyAlignment="1">
      <alignment wrapText="1"/>
    </xf>
    <xf numFmtId="0" fontId="3" fillId="5" borderId="0" xfId="0" applyFont="1" applyFill="1" applyAlignment="1">
      <alignment wrapText="1"/>
    </xf>
    <xf numFmtId="0" fontId="3" fillId="8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9" borderId="0" xfId="0" applyFont="1" applyFill="1" applyAlignment="1">
      <alignment horizontal="left" wrapText="1"/>
    </xf>
    <xf numFmtId="0" fontId="3" fillId="9" borderId="0" xfId="0" applyFont="1" applyFill="1" applyAlignment="1">
      <alignment horizontal="left" wrapText="1"/>
    </xf>
    <xf numFmtId="0" fontId="2" fillId="9" borderId="0" xfId="0" applyFont="1" applyFill="1" applyAlignment="1">
      <alignment horizontal="left" wrapText="1"/>
    </xf>
    <xf numFmtId="0" fontId="2" fillId="8" borderId="0" xfId="0" applyFont="1" applyFill="1" applyAlignment="1">
      <alignment horizontal="left" wrapText="1"/>
    </xf>
    <xf numFmtId="0" fontId="2" fillId="7" borderId="0" xfId="0" applyFont="1" applyFill="1" applyAlignment="1">
      <alignment horizontal="left" wrapText="1"/>
    </xf>
    <xf numFmtId="10" fontId="2" fillId="0" borderId="0" xfId="0" applyNumberFormat="1" applyFont="1" applyAlignment="1">
      <alignment horizontal="left" wrapText="1"/>
    </xf>
    <xf numFmtId="168" fontId="3" fillId="9" borderId="0" xfId="0" applyNumberFormat="1" applyFont="1" applyFill="1" applyAlignment="1">
      <alignment horizontal="left" wrapText="1"/>
    </xf>
    <xf numFmtId="0" fontId="2" fillId="10" borderId="0" xfId="0" applyFont="1" applyFill="1" applyAlignment="1">
      <alignment wrapText="1"/>
    </xf>
    <xf numFmtId="0" fontId="2" fillId="11" borderId="0" xfId="0" applyFont="1" applyFill="1" applyAlignment="1">
      <alignment wrapText="1"/>
    </xf>
    <xf numFmtId="0" fontId="2" fillId="10" borderId="0" xfId="0" applyFont="1" applyFill="1" applyAlignment="1">
      <alignment wrapText="1"/>
    </xf>
    <xf numFmtId="0" fontId="2" fillId="11" borderId="0" xfId="0" applyFont="1" applyFill="1" applyAlignment="1">
      <alignment wrapText="1"/>
    </xf>
    <xf numFmtId="0" fontId="2" fillId="12" borderId="0" xfId="0" applyFont="1" applyFill="1" applyAlignment="1">
      <alignment wrapText="1"/>
    </xf>
    <xf numFmtId="4" fontId="2" fillId="11" borderId="0" xfId="0" applyNumberFormat="1" applyFont="1" applyFill="1" applyAlignment="1">
      <alignment wrapText="1"/>
    </xf>
    <xf numFmtId="4" fontId="2" fillId="12" borderId="0" xfId="0" applyNumberFormat="1" applyFont="1" applyFill="1" applyAlignment="1">
      <alignment wrapText="1"/>
    </xf>
    <xf numFmtId="4" fontId="2" fillId="10" borderId="0" xfId="0" applyNumberFormat="1" applyFont="1" applyFill="1" applyAlignment="1">
      <alignment wrapText="1"/>
    </xf>
    <xf numFmtId="0" fontId="3" fillId="0" borderId="13" xfId="0" applyFont="1" applyBorder="1" applyAlignment="1">
      <alignment horizontal="left" wrapText="1"/>
    </xf>
    <xf numFmtId="0" fontId="2" fillId="13" borderId="11" xfId="0" applyFont="1" applyFill="1" applyBorder="1" applyAlignment="1">
      <alignment horizontal="left" wrapText="1"/>
    </xf>
    <xf numFmtId="0" fontId="2" fillId="6" borderId="11" xfId="0" applyFont="1" applyFill="1" applyBorder="1" applyAlignment="1">
      <alignment horizontal="left" wrapText="1"/>
    </xf>
    <xf numFmtId="0" fontId="2" fillId="6" borderId="11" xfId="0" applyFont="1" applyFill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11" xfId="0" applyFont="1" applyBorder="1" applyAlignment="1">
      <alignment wrapText="1"/>
    </xf>
    <xf numFmtId="0" fontId="2" fillId="0" borderId="20" xfId="0" applyFont="1" applyBorder="1" applyAlignment="1">
      <alignment wrapText="1"/>
    </xf>
    <xf numFmtId="0" fontId="2" fillId="14" borderId="11" xfId="0" applyFont="1" applyFill="1" applyBorder="1" applyAlignment="1">
      <alignment horizontal="left" wrapText="1"/>
    </xf>
    <xf numFmtId="0" fontId="3" fillId="14" borderId="11" xfId="0" applyFont="1" applyFill="1" applyBorder="1" applyAlignment="1">
      <alignment horizontal="left" wrapText="1"/>
    </xf>
    <xf numFmtId="0" fontId="2" fillId="0" borderId="11" xfId="0" applyFont="1" applyBorder="1" applyAlignment="1">
      <alignment wrapText="1"/>
    </xf>
    <xf numFmtId="0" fontId="2" fillId="0" borderId="7" xfId="0" applyFont="1" applyBorder="1" applyAlignment="1">
      <alignment horizontal="left" wrapText="1"/>
    </xf>
    <xf numFmtId="0" fontId="3" fillId="14" borderId="11" xfId="0" applyFont="1" applyFill="1" applyBorder="1" applyAlignment="1">
      <alignment horizontal="left" wrapText="1"/>
    </xf>
    <xf numFmtId="0" fontId="2" fillId="3" borderId="11" xfId="0" applyFont="1" applyFill="1" applyBorder="1" applyAlignment="1">
      <alignment horizontal="left" wrapText="1"/>
    </xf>
    <xf numFmtId="0" fontId="2" fillId="12" borderId="11" xfId="0" applyFont="1" applyFill="1" applyBorder="1" applyAlignment="1">
      <alignment horizontal="left" wrapText="1"/>
    </xf>
    <xf numFmtId="0" fontId="2" fillId="12" borderId="11" xfId="0" applyFont="1" applyFill="1" applyBorder="1" applyAlignment="1">
      <alignment horizontal="left" wrapText="1"/>
    </xf>
    <xf numFmtId="0" fontId="2" fillId="0" borderId="20" xfId="0" applyFont="1" applyBorder="1" applyAlignment="1">
      <alignment wrapText="1"/>
    </xf>
    <xf numFmtId="0" fontId="2" fillId="15" borderId="11" xfId="0" applyFont="1" applyFill="1" applyBorder="1" applyAlignment="1">
      <alignment horizontal="left" wrapText="1"/>
    </xf>
    <xf numFmtId="0" fontId="2" fillId="12" borderId="11" xfId="0" applyFont="1" applyFill="1" applyBorder="1" applyAlignment="1">
      <alignment horizontal="left" wrapText="1"/>
    </xf>
    <xf numFmtId="0" fontId="31" fillId="9" borderId="11" xfId="0" applyFont="1" applyFill="1" applyBorder="1" applyAlignment="1">
      <alignment horizontal="left" wrapText="1"/>
    </xf>
    <xf numFmtId="0" fontId="32" fillId="12" borderId="11" xfId="0" applyFont="1" applyFill="1" applyBorder="1" applyAlignment="1">
      <alignment horizontal="left" wrapText="1"/>
    </xf>
    <xf numFmtId="0" fontId="32" fillId="12" borderId="11" xfId="0" applyFont="1" applyFill="1" applyBorder="1" applyAlignment="1">
      <alignment horizontal="left" wrapText="1"/>
    </xf>
    <xf numFmtId="0" fontId="31" fillId="0" borderId="11" xfId="0" applyFont="1" applyBorder="1" applyAlignment="1">
      <alignment horizontal="left" wrapText="1"/>
    </xf>
    <xf numFmtId="0" fontId="31" fillId="0" borderId="11" xfId="0" applyFont="1" applyBorder="1" applyAlignment="1">
      <alignment horizontal="left" wrapText="1"/>
    </xf>
    <xf numFmtId="0" fontId="31" fillId="0" borderId="9" xfId="0" applyFont="1" applyBorder="1" applyAlignment="1">
      <alignment horizontal="left" wrapText="1"/>
    </xf>
    <xf numFmtId="0" fontId="31" fillId="0" borderId="0" xfId="0" applyFont="1" applyAlignment="1">
      <alignment horizontal="left" wrapText="1"/>
    </xf>
    <xf numFmtId="0" fontId="31" fillId="0" borderId="9" xfId="0" applyFont="1" applyBorder="1" applyAlignment="1">
      <alignment horizontal="left" wrapText="1"/>
    </xf>
    <xf numFmtId="0" fontId="31" fillId="4" borderId="11" xfId="0" applyFont="1" applyFill="1" applyBorder="1" applyAlignment="1">
      <alignment horizontal="left" wrapText="1"/>
    </xf>
    <xf numFmtId="0" fontId="31" fillId="0" borderId="11" xfId="0" applyFont="1" applyBorder="1" applyAlignment="1">
      <alignment horizontal="left" wrapText="1"/>
    </xf>
    <xf numFmtId="0" fontId="32" fillId="12" borderId="11" xfId="0" applyFont="1" applyFill="1" applyBorder="1" applyAlignment="1">
      <alignment horizontal="left"/>
    </xf>
    <xf numFmtId="0" fontId="33" fillId="0" borderId="11" xfId="0" applyFont="1" applyBorder="1" applyAlignment="1">
      <alignment horizontal="left" wrapText="1"/>
    </xf>
    <xf numFmtId="0" fontId="2" fillId="16" borderId="11" xfId="0" applyFont="1" applyFill="1" applyBorder="1" applyAlignment="1">
      <alignment horizontal="left" wrapText="1"/>
    </xf>
    <xf numFmtId="0" fontId="3" fillId="12" borderId="11" xfId="0" applyFont="1" applyFill="1" applyBorder="1" applyAlignment="1">
      <alignment horizontal="left" wrapText="1"/>
    </xf>
    <xf numFmtId="0" fontId="2" fillId="17" borderId="11" xfId="0" applyFont="1" applyFill="1" applyBorder="1" applyAlignment="1">
      <alignment horizontal="left" wrapText="1"/>
    </xf>
    <xf numFmtId="0" fontId="2" fillId="18" borderId="11" xfId="0" applyFont="1" applyFill="1" applyBorder="1" applyAlignment="1">
      <alignment horizontal="left" wrapText="1"/>
    </xf>
    <xf numFmtId="0" fontId="3" fillId="19" borderId="11" xfId="0" applyFont="1" applyFill="1" applyBorder="1" applyAlignment="1">
      <alignment horizontal="left" wrapText="1"/>
    </xf>
    <xf numFmtId="0" fontId="2" fillId="20" borderId="11" xfId="0" applyFont="1" applyFill="1" applyBorder="1" applyAlignment="1">
      <alignment horizontal="left" wrapText="1"/>
    </xf>
    <xf numFmtId="0" fontId="34" fillId="5" borderId="9" xfId="0" applyFont="1" applyFill="1" applyBorder="1" applyAlignment="1">
      <alignment horizontal="left" wrapText="1"/>
    </xf>
    <xf numFmtId="0" fontId="3" fillId="9" borderId="11" xfId="0" applyFont="1" applyFill="1" applyBorder="1" applyAlignment="1">
      <alignment horizontal="left" wrapText="1"/>
    </xf>
    <xf numFmtId="0" fontId="35" fillId="0" borderId="0" xfId="0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32" fillId="4" borderId="0" xfId="0" applyFont="1" applyFill="1" applyAlignment="1">
      <alignment horizontal="left" wrapText="1"/>
    </xf>
    <xf numFmtId="0" fontId="32" fillId="0" borderId="0" xfId="0" applyFont="1" applyAlignment="1">
      <alignment horizontal="left" wrapText="1"/>
    </xf>
    <xf numFmtId="0" fontId="32" fillId="4" borderId="0" xfId="0" applyFont="1" applyFill="1" applyAlignment="1">
      <alignment horizontal="left" wrapText="1"/>
    </xf>
    <xf numFmtId="0" fontId="35" fillId="4" borderId="0" xfId="0" applyFont="1" applyFill="1" applyAlignment="1">
      <alignment horizontal="left" wrapText="1"/>
    </xf>
    <xf numFmtId="0" fontId="2" fillId="14" borderId="0" xfId="0" applyFont="1" applyFill="1" applyAlignment="1">
      <alignment horizontal="left" wrapText="1"/>
    </xf>
    <xf numFmtId="0" fontId="32" fillId="4" borderId="0" xfId="0" applyFont="1" applyFill="1" applyAlignment="1">
      <alignment horizontal="left" wrapText="1"/>
    </xf>
    <xf numFmtId="0" fontId="32" fillId="0" borderId="0" xfId="0" applyFont="1" applyAlignment="1">
      <alignment horizontal="left" wrapText="1"/>
    </xf>
    <xf numFmtId="0" fontId="5" fillId="0" borderId="7" xfId="0" applyFont="1" applyBorder="1" applyAlignment="1">
      <alignment wrapText="1"/>
    </xf>
    <xf numFmtId="0" fontId="5" fillId="0" borderId="23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12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21" borderId="0" xfId="0" applyFont="1" applyFill="1" applyAlignment="1">
      <alignment wrapText="1"/>
    </xf>
    <xf numFmtId="0" fontId="5" fillId="10" borderId="0" xfId="0" applyFont="1" applyFill="1" applyAlignment="1">
      <alignment wrapText="1"/>
    </xf>
    <xf numFmtId="0" fontId="5" fillId="12" borderId="0" xfId="0" applyFont="1" applyFill="1" applyAlignment="1">
      <alignment wrapText="1"/>
    </xf>
    <xf numFmtId="0" fontId="5" fillId="12" borderId="12" xfId="0" applyFont="1" applyFill="1" applyBorder="1" applyAlignment="1">
      <alignment wrapText="1"/>
    </xf>
    <xf numFmtId="0" fontId="5" fillId="12" borderId="9" xfId="0" applyFont="1" applyFill="1" applyBorder="1" applyAlignment="1">
      <alignment wrapText="1"/>
    </xf>
    <xf numFmtId="0" fontId="5" fillId="0" borderId="13" xfId="0" applyFont="1" applyBorder="1" applyAlignment="1">
      <alignment wrapText="1"/>
    </xf>
    <xf numFmtId="0" fontId="5" fillId="0" borderId="19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13" xfId="0" applyFont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21" borderId="0" xfId="0" applyFont="1" applyFill="1" applyAlignment="1">
      <alignment wrapText="1"/>
    </xf>
    <xf numFmtId="0" fontId="2" fillId="17" borderId="0" xfId="0" applyFont="1" applyFill="1" applyAlignment="1">
      <alignment wrapText="1"/>
    </xf>
    <xf numFmtId="0" fontId="33" fillId="0" borderId="0" xfId="0" applyFont="1" applyAlignment="1">
      <alignment wrapText="1"/>
    </xf>
    <xf numFmtId="4" fontId="3" fillId="0" borderId="0" xfId="0" applyNumberFormat="1" applyFont="1" applyAlignment="1">
      <alignment wrapText="1"/>
    </xf>
    <xf numFmtId="0" fontId="2" fillId="14" borderId="0" xfId="0" applyFont="1" applyFill="1" applyAlignment="1">
      <alignment wrapText="1"/>
    </xf>
    <xf numFmtId="4" fontId="2" fillId="0" borderId="0" xfId="0" applyNumberFormat="1" applyFont="1" applyAlignment="1">
      <alignment wrapText="1"/>
    </xf>
    <xf numFmtId="0" fontId="2" fillId="17" borderId="0" xfId="0" applyFont="1" applyFill="1" applyAlignment="1">
      <alignment wrapText="1"/>
    </xf>
    <xf numFmtId="0" fontId="33" fillId="0" borderId="0" xfId="0" applyFont="1" applyAlignment="1">
      <alignment wrapText="1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33" fillId="0" borderId="0" xfId="0" applyFont="1" applyAlignment="1">
      <alignment wrapText="1"/>
    </xf>
    <xf numFmtId="0" fontId="2" fillId="22" borderId="0" xfId="0" applyFont="1" applyFill="1" applyAlignment="1">
      <alignment wrapText="1"/>
    </xf>
    <xf numFmtId="4" fontId="2" fillId="9" borderId="0" xfId="0" applyNumberFormat="1" applyFont="1" applyFill="1" applyAlignment="1">
      <alignment wrapText="1"/>
    </xf>
    <xf numFmtId="165" fontId="2" fillId="0" borderId="0" xfId="0" applyNumberFormat="1" applyFont="1" applyAlignment="1">
      <alignment wrapText="1"/>
    </xf>
    <xf numFmtId="3" fontId="2" fillId="0" borderId="0" xfId="0" applyNumberFormat="1" applyFont="1" applyAlignment="1">
      <alignment wrapText="1"/>
    </xf>
    <xf numFmtId="11" fontId="2" fillId="0" borderId="0" xfId="0" applyNumberFormat="1" applyFont="1" applyAlignment="1">
      <alignment wrapText="1"/>
    </xf>
    <xf numFmtId="11" fontId="2" fillId="0" borderId="0" xfId="0" applyNumberFormat="1" applyFont="1" applyAlignment="1">
      <alignment horizontal="left" wrapText="1"/>
    </xf>
    <xf numFmtId="4" fontId="2" fillId="0" borderId="0" xfId="0" applyNumberFormat="1" applyFont="1" applyAlignment="1">
      <alignment horizontal="left" wrapText="1"/>
    </xf>
    <xf numFmtId="0" fontId="3" fillId="8" borderId="0" xfId="0" applyFont="1" applyFill="1" applyAlignment="1">
      <alignment wrapText="1"/>
    </xf>
    <xf numFmtId="0" fontId="2" fillId="8" borderId="0" xfId="0" applyFont="1" applyFill="1" applyAlignment="1">
      <alignment wrapText="1"/>
    </xf>
    <xf numFmtId="0" fontId="2" fillId="12" borderId="0" xfId="0" applyFont="1" applyFill="1" applyAlignment="1">
      <alignment wrapText="1"/>
    </xf>
    <xf numFmtId="0" fontId="2" fillId="12" borderId="0" xfId="0" applyFont="1" applyFill="1" applyAlignment="1">
      <alignment wrapText="1"/>
    </xf>
    <xf numFmtId="4" fontId="2" fillId="12" borderId="0" xfId="0" applyNumberFormat="1" applyFont="1" applyFill="1" applyAlignment="1">
      <alignment wrapText="1"/>
    </xf>
    <xf numFmtId="4" fontId="3" fillId="0" borderId="0" xfId="0" applyNumberFormat="1" applyFont="1" applyAlignment="1">
      <alignment wrapText="1"/>
    </xf>
    <xf numFmtId="4" fontId="2" fillId="0" borderId="13" xfId="0" applyNumberFormat="1" applyFont="1" applyBorder="1" applyAlignment="1">
      <alignment wrapText="1"/>
    </xf>
    <xf numFmtId="0" fontId="37" fillId="4" borderId="11" xfId="0" applyFont="1" applyFill="1" applyBorder="1" applyAlignment="1">
      <alignment wrapText="1"/>
    </xf>
    <xf numFmtId="0" fontId="37" fillId="0" borderId="11" xfId="0" applyFont="1" applyBorder="1" applyAlignment="1">
      <alignment wrapText="1"/>
    </xf>
    <xf numFmtId="0" fontId="37" fillId="4" borderId="11" xfId="0" applyFont="1" applyFill="1" applyBorder="1" applyAlignment="1">
      <alignment wrapText="1"/>
    </xf>
    <xf numFmtId="0" fontId="37" fillId="20" borderId="11" xfId="0" applyFont="1" applyFill="1" applyBorder="1" applyAlignment="1">
      <alignment wrapText="1"/>
    </xf>
    <xf numFmtId="0" fontId="2" fillId="0" borderId="9" xfId="0" applyFont="1" applyBorder="1" applyAlignment="1">
      <alignment wrapText="1"/>
    </xf>
    <xf numFmtId="0" fontId="37" fillId="12" borderId="11" xfId="0" applyFont="1" applyFill="1" applyBorder="1" applyAlignment="1">
      <alignment wrapText="1"/>
    </xf>
    <xf numFmtId="4" fontId="2" fillId="4" borderId="10" xfId="0" applyNumberFormat="1" applyFont="1" applyFill="1" applyBorder="1" applyAlignment="1">
      <alignment wrapText="1"/>
    </xf>
    <xf numFmtId="4" fontId="2" fillId="4" borderId="7" xfId="0" applyNumberFormat="1" applyFont="1" applyFill="1" applyBorder="1" applyAlignment="1">
      <alignment wrapText="1"/>
    </xf>
    <xf numFmtId="4" fontId="2" fillId="4" borderId="9" xfId="0" applyNumberFormat="1" applyFont="1" applyFill="1" applyBorder="1" applyAlignment="1">
      <alignment wrapText="1"/>
    </xf>
    <xf numFmtId="4" fontId="2" fillId="4" borderId="0" xfId="0" applyNumberFormat="1" applyFont="1" applyFill="1" applyAlignment="1">
      <alignment wrapText="1"/>
    </xf>
    <xf numFmtId="0" fontId="2" fillId="14" borderId="0" xfId="0" applyFont="1" applyFill="1" applyAlignment="1">
      <alignment wrapText="1"/>
    </xf>
    <xf numFmtId="0" fontId="2" fillId="14" borderId="0" xfId="0" applyFont="1" applyFill="1" applyAlignment="1">
      <alignment wrapText="1"/>
    </xf>
    <xf numFmtId="4" fontId="2" fillId="14" borderId="0" xfId="0" applyNumberFormat="1" applyFont="1" applyFill="1" applyAlignment="1">
      <alignment wrapText="1"/>
    </xf>
    <xf numFmtId="0" fontId="38" fillId="0" borderId="0" xfId="0" applyFont="1" applyAlignment="1">
      <alignment wrapText="1"/>
    </xf>
    <xf numFmtId="0" fontId="38" fillId="14" borderId="0" xfId="0" applyFont="1" applyFill="1" applyAlignment="1">
      <alignment wrapText="1"/>
    </xf>
    <xf numFmtId="0" fontId="38" fillId="0" borderId="0" xfId="0" applyFont="1" applyAlignment="1">
      <alignment wrapText="1"/>
    </xf>
    <xf numFmtId="10" fontId="2" fillId="0" borderId="0" xfId="0" applyNumberFormat="1" applyFont="1" applyAlignment="1">
      <alignment wrapText="1"/>
    </xf>
    <xf numFmtId="0" fontId="38" fillId="0" borderId="0" xfId="0" applyFont="1" applyAlignment="1">
      <alignment wrapText="1"/>
    </xf>
    <xf numFmtId="0" fontId="2" fillId="0" borderId="9" xfId="0" applyFont="1" applyBorder="1" applyAlignment="1">
      <alignment wrapText="1"/>
    </xf>
    <xf numFmtId="0" fontId="2" fillId="6" borderId="11" xfId="0" applyFont="1" applyFill="1" applyBorder="1" applyAlignment="1">
      <alignment wrapText="1"/>
    </xf>
    <xf numFmtId="0" fontId="2" fillId="10" borderId="11" xfId="0" applyFont="1" applyFill="1" applyBorder="1" applyAlignment="1">
      <alignment wrapText="1"/>
    </xf>
    <xf numFmtId="0" fontId="3" fillId="14" borderId="7" xfId="0" applyFont="1" applyFill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17" borderId="11" xfId="0" applyFont="1" applyFill="1" applyBorder="1" applyAlignment="1">
      <alignment wrapText="1"/>
    </xf>
    <xf numFmtId="0" fontId="2" fillId="17" borderId="11" xfId="0" applyFont="1" applyFill="1" applyBorder="1" applyAlignment="1">
      <alignment wrapText="1"/>
    </xf>
    <xf numFmtId="4" fontId="2" fillId="0" borderId="11" xfId="0" applyNumberFormat="1" applyFont="1" applyBorder="1" applyAlignment="1">
      <alignment wrapText="1"/>
    </xf>
    <xf numFmtId="0" fontId="2" fillId="9" borderId="0" xfId="0" applyFont="1" applyFill="1" applyAlignment="1">
      <alignment wrapText="1"/>
    </xf>
    <xf numFmtId="0" fontId="2" fillId="9" borderId="0" xfId="0" applyFont="1" applyFill="1" applyAlignment="1">
      <alignment wrapText="1"/>
    </xf>
    <xf numFmtId="0" fontId="2" fillId="24" borderId="0" xfId="0" applyFont="1" applyFill="1" applyAlignment="1">
      <alignment wrapText="1"/>
    </xf>
    <xf numFmtId="0" fontId="2" fillId="0" borderId="19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2" fillId="14" borderId="11" xfId="0" applyFont="1" applyFill="1" applyBorder="1" applyAlignment="1">
      <alignment wrapText="1"/>
    </xf>
    <xf numFmtId="0" fontId="2" fillId="14" borderId="11" xfId="0" applyFont="1" applyFill="1" applyBorder="1" applyAlignment="1">
      <alignment wrapText="1"/>
    </xf>
    <xf numFmtId="0" fontId="1" fillId="0" borderId="9" xfId="0" applyFont="1" applyBorder="1" applyAlignment="1">
      <alignment wrapText="1"/>
    </xf>
    <xf numFmtId="4" fontId="3" fillId="0" borderId="11" xfId="0" applyNumberFormat="1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6" borderId="11" xfId="0" applyFont="1" applyFill="1" applyBorder="1" applyAlignment="1">
      <alignment wrapText="1"/>
    </xf>
    <xf numFmtId="0" fontId="2" fillId="6" borderId="11" xfId="0" applyFont="1" applyFill="1" applyBorder="1" applyAlignment="1">
      <alignment wrapText="1"/>
    </xf>
    <xf numFmtId="4" fontId="2" fillId="14" borderId="11" xfId="0" applyNumberFormat="1" applyFont="1" applyFill="1" applyBorder="1" applyAlignment="1">
      <alignment wrapText="1"/>
    </xf>
    <xf numFmtId="4" fontId="2" fillId="0" borderId="11" xfId="0" applyNumberFormat="1" applyFont="1" applyBorder="1" applyAlignment="1">
      <alignment wrapText="1"/>
    </xf>
    <xf numFmtId="0" fontId="37" fillId="8" borderId="11" xfId="0" applyFont="1" applyFill="1" applyBorder="1" applyAlignment="1">
      <alignment wrapText="1"/>
    </xf>
    <xf numFmtId="0" fontId="37" fillId="7" borderId="11" xfId="0" applyFont="1" applyFill="1" applyBorder="1" applyAlignment="1">
      <alignment wrapText="1"/>
    </xf>
    <xf numFmtId="0" fontId="37" fillId="8" borderId="11" xfId="0" applyFont="1" applyFill="1" applyBorder="1" applyAlignment="1">
      <alignment wrapText="1"/>
    </xf>
    <xf numFmtId="0" fontId="37" fillId="7" borderId="11" xfId="0" applyFont="1" applyFill="1" applyBorder="1" applyAlignment="1">
      <alignment wrapText="1"/>
    </xf>
    <xf numFmtId="0" fontId="39" fillId="0" borderId="0" xfId="0" applyFont="1" applyAlignment="1">
      <alignment wrapText="1"/>
    </xf>
    <xf numFmtId="0" fontId="2" fillId="8" borderId="0" xfId="0" applyFont="1" applyFill="1" applyAlignment="1">
      <alignment wrapText="1"/>
    </xf>
    <xf numFmtId="0" fontId="3" fillId="14" borderId="13" xfId="0" applyFont="1" applyFill="1" applyBorder="1" applyAlignment="1">
      <alignment wrapText="1"/>
    </xf>
    <xf numFmtId="0" fontId="2" fillId="0" borderId="9" xfId="0" applyFont="1" applyBorder="1" applyAlignment="1">
      <alignment wrapText="1"/>
    </xf>
    <xf numFmtId="0" fontId="37" fillId="0" borderId="0" xfId="0" applyFont="1" applyAlignment="1">
      <alignment wrapText="1"/>
    </xf>
    <xf numFmtId="4" fontId="2" fillId="8" borderId="0" xfId="0" applyNumberFormat="1" applyFont="1" applyFill="1" applyAlignment="1">
      <alignment wrapText="1"/>
    </xf>
    <xf numFmtId="0" fontId="2" fillId="8" borderId="0" xfId="0" applyFont="1" applyFill="1" applyAlignment="1">
      <alignment wrapText="1"/>
    </xf>
    <xf numFmtId="0" fontId="37" fillId="8" borderId="0" xfId="0" applyFont="1" applyFill="1" applyAlignment="1">
      <alignment wrapText="1"/>
    </xf>
    <xf numFmtId="4" fontId="37" fillId="7" borderId="0" xfId="0" applyNumberFormat="1" applyFont="1" applyFill="1" applyAlignment="1">
      <alignment wrapText="1"/>
    </xf>
    <xf numFmtId="3" fontId="2" fillId="0" borderId="0" xfId="0" applyNumberFormat="1" applyFont="1" applyAlignment="1">
      <alignment wrapText="1"/>
    </xf>
    <xf numFmtId="0" fontId="3" fillId="14" borderId="0" xfId="0" applyFont="1" applyFill="1" applyAlignment="1">
      <alignment wrapText="1"/>
    </xf>
    <xf numFmtId="0" fontId="38" fillId="0" borderId="0" xfId="0" applyFont="1" applyAlignment="1"/>
    <xf numFmtId="0" fontId="38" fillId="0" borderId="0" xfId="0" applyFont="1" applyAlignment="1"/>
    <xf numFmtId="0" fontId="38" fillId="0" borderId="0" xfId="0" applyFont="1" applyAlignment="1"/>
    <xf numFmtId="11" fontId="2" fillId="0" borderId="0" xfId="0" applyNumberFormat="1" applyFont="1" applyAlignment="1">
      <alignment wrapText="1"/>
    </xf>
    <xf numFmtId="11" fontId="38" fillId="0" borderId="0" xfId="0" applyNumberFormat="1" applyFont="1" applyAlignment="1"/>
    <xf numFmtId="11" fontId="2" fillId="0" borderId="12" xfId="0" applyNumberFormat="1" applyFont="1" applyBorder="1" applyAlignment="1">
      <alignment wrapText="1"/>
    </xf>
    <xf numFmtId="11" fontId="3" fillId="0" borderId="18" xfId="0" applyNumberFormat="1" applyFont="1" applyBorder="1" applyAlignment="1">
      <alignment wrapText="1"/>
    </xf>
    <xf numFmtId="11" fontId="3" fillId="0" borderId="11" xfId="0" applyNumberFormat="1" applyFont="1" applyBorder="1" applyAlignment="1">
      <alignment wrapText="1"/>
    </xf>
    <xf numFmtId="0" fontId="38" fillId="8" borderId="0" xfId="0" applyFont="1" applyFill="1" applyAlignment="1"/>
    <xf numFmtId="0" fontId="38" fillId="14" borderId="0" xfId="0" applyFont="1" applyFill="1" applyAlignment="1"/>
    <xf numFmtId="0" fontId="38" fillId="14" borderId="0" xfId="0" applyFont="1" applyFill="1" applyAlignment="1"/>
    <xf numFmtId="0" fontId="2" fillId="0" borderId="0" xfId="0" applyFont="1" applyAlignment="1"/>
    <xf numFmtId="4" fontId="38" fillId="0" borderId="0" xfId="0" applyNumberFormat="1" applyFont="1" applyAlignment="1"/>
    <xf numFmtId="11" fontId="2" fillId="0" borderId="0" xfId="0" applyNumberFormat="1" applyFont="1" applyAlignment="1">
      <alignment wrapText="1"/>
    </xf>
    <xf numFmtId="11" fontId="40" fillId="4" borderId="0" xfId="0" applyNumberFormat="1" applyFont="1" applyFill="1" applyAlignment="1">
      <alignment wrapText="1"/>
    </xf>
    <xf numFmtId="0" fontId="38" fillId="0" borderId="12" xfId="0" applyFont="1" applyBorder="1" applyAlignment="1">
      <alignment wrapText="1"/>
    </xf>
    <xf numFmtId="0" fontId="41" fillId="0" borderId="11" xfId="0" applyFont="1" applyBorder="1" applyAlignment="1">
      <alignment wrapText="1"/>
    </xf>
    <xf numFmtId="0" fontId="38" fillId="0" borderId="9" xfId="0" applyFont="1" applyBorder="1" applyAlignment="1">
      <alignment wrapText="1"/>
    </xf>
    <xf numFmtId="0" fontId="3" fillId="14" borderId="11" xfId="0" applyFont="1" applyFill="1" applyBorder="1" applyAlignment="1">
      <alignment wrapText="1"/>
    </xf>
    <xf numFmtId="3" fontId="38" fillId="0" borderId="0" xfId="0" applyNumberFormat="1" applyFont="1" applyAlignment="1"/>
    <xf numFmtId="0" fontId="38" fillId="0" borderId="12" xfId="0" applyFont="1" applyBorder="1" applyAlignment="1"/>
    <xf numFmtId="11" fontId="41" fillId="0" borderId="11" xfId="0" applyNumberFormat="1" applyFont="1" applyBorder="1" applyAlignment="1"/>
    <xf numFmtId="0" fontId="38" fillId="0" borderId="9" xfId="0" applyFont="1" applyBorder="1" applyAlignment="1"/>
    <xf numFmtId="3" fontId="38" fillId="14" borderId="0" xfId="0" applyNumberFormat="1" applyFont="1" applyFill="1" applyAlignment="1"/>
    <xf numFmtId="0" fontId="37" fillId="0" borderId="11" xfId="0" applyFont="1" applyBorder="1" applyAlignment="1">
      <alignment wrapText="1"/>
    </xf>
    <xf numFmtId="3" fontId="2" fillId="14" borderId="0" xfId="0" applyNumberFormat="1" applyFont="1" applyFill="1" applyAlignment="1">
      <alignment wrapText="1"/>
    </xf>
    <xf numFmtId="0" fontId="2" fillId="25" borderId="0" xfId="0" applyFont="1" applyFill="1" applyAlignment="1">
      <alignment wrapText="1"/>
    </xf>
    <xf numFmtId="0" fontId="2" fillId="16" borderId="0" xfId="0" applyFont="1" applyFill="1" applyAlignment="1">
      <alignment wrapText="1"/>
    </xf>
    <xf numFmtId="0" fontId="2" fillId="25" borderId="0" xfId="0" applyFont="1" applyFill="1" applyAlignment="1">
      <alignment wrapText="1"/>
    </xf>
    <xf numFmtId="0" fontId="2" fillId="16" borderId="0" xfId="0" applyFont="1" applyFill="1" applyAlignment="1">
      <alignment wrapText="1"/>
    </xf>
    <xf numFmtId="0" fontId="20" fillId="8" borderId="0" xfId="0" applyFont="1" applyFill="1" applyAlignment="1">
      <alignment wrapText="1"/>
    </xf>
    <xf numFmtId="0" fontId="42" fillId="0" borderId="0" xfId="0" applyFont="1" applyAlignment="1"/>
    <xf numFmtId="0" fontId="42" fillId="0" borderId="0" xfId="0" applyFont="1" applyAlignment="1"/>
    <xf numFmtId="0" fontId="20" fillId="0" borderId="0" xfId="0" applyFont="1" applyAlignment="1">
      <alignment wrapText="1"/>
    </xf>
    <xf numFmtId="0" fontId="20" fillId="14" borderId="0" xfId="0" applyFont="1" applyFill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wrapText="1"/>
    </xf>
    <xf numFmtId="11" fontId="42" fillId="0" borderId="0" xfId="0" applyNumberFormat="1" applyFont="1" applyAlignment="1"/>
    <xf numFmtId="4" fontId="42" fillId="0" borderId="0" xfId="0" applyNumberFormat="1" applyFont="1" applyAlignment="1"/>
    <xf numFmtId="11" fontId="20" fillId="0" borderId="0" xfId="0" applyNumberFormat="1" applyFont="1" applyAlignment="1">
      <alignment wrapText="1"/>
    </xf>
    <xf numFmtId="0" fontId="20" fillId="0" borderId="13" xfId="0" applyFont="1" applyBorder="1" applyAlignment="1">
      <alignment wrapText="1"/>
    </xf>
    <xf numFmtId="0" fontId="20" fillId="26" borderId="0" xfId="0" applyFont="1" applyFill="1" applyAlignment="1">
      <alignment wrapText="1"/>
    </xf>
    <xf numFmtId="0" fontId="20" fillId="26" borderId="0" xfId="0" applyFont="1" applyFill="1" applyAlignment="1">
      <alignment wrapText="1"/>
    </xf>
    <xf numFmtId="0" fontId="11" fillId="26" borderId="0" xfId="0" applyFont="1" applyFill="1" applyAlignment="1">
      <alignment wrapText="1"/>
    </xf>
    <xf numFmtId="0" fontId="11" fillId="0" borderId="13" xfId="0" applyFont="1" applyBorder="1" applyAlignment="1">
      <alignment wrapText="1"/>
    </xf>
    <xf numFmtId="0" fontId="20" fillId="0" borderId="13" xfId="0" applyFont="1" applyBorder="1" applyAlignment="1">
      <alignment wrapText="1"/>
    </xf>
    <xf numFmtId="0" fontId="42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2" fillId="0" borderId="12" xfId="0" applyFont="1" applyBorder="1" applyAlignment="1">
      <alignment wrapText="1"/>
    </xf>
    <xf numFmtId="0" fontId="42" fillId="0" borderId="11" xfId="0" applyFont="1" applyBorder="1" applyAlignment="1">
      <alignment wrapText="1"/>
    </xf>
    <xf numFmtId="0" fontId="42" fillId="0" borderId="9" xfId="0" applyFont="1" applyBorder="1" applyAlignment="1">
      <alignment wrapText="1"/>
    </xf>
    <xf numFmtId="0" fontId="42" fillId="26" borderId="0" xfId="0" applyFont="1" applyFill="1" applyAlignment="1">
      <alignment wrapText="1"/>
    </xf>
    <xf numFmtId="0" fontId="42" fillId="26" borderId="0" xfId="0" applyFont="1" applyFill="1" applyAlignment="1">
      <alignment wrapText="1"/>
    </xf>
    <xf numFmtId="0" fontId="42" fillId="26" borderId="12" xfId="0" applyFont="1" applyFill="1" applyBorder="1" applyAlignment="1">
      <alignment wrapText="1"/>
    </xf>
    <xf numFmtId="0" fontId="42" fillId="0" borderId="11" xfId="0" applyFont="1" applyBorder="1" applyAlignment="1">
      <alignment wrapText="1"/>
    </xf>
    <xf numFmtId="0" fontId="20" fillId="0" borderId="7" xfId="0" applyFont="1" applyBorder="1" applyAlignment="1">
      <alignment wrapText="1"/>
    </xf>
    <xf numFmtId="0" fontId="11" fillId="0" borderId="8" xfId="0" applyFont="1" applyBorder="1" applyAlignment="1">
      <alignment wrapText="1"/>
    </xf>
    <xf numFmtId="0" fontId="20" fillId="0" borderId="20" xfId="0" applyFont="1" applyBorder="1" applyAlignment="1">
      <alignment wrapText="1"/>
    </xf>
    <xf numFmtId="0" fontId="20" fillId="0" borderId="11" xfId="0" applyFont="1" applyBorder="1" applyAlignment="1">
      <alignment wrapText="1"/>
    </xf>
    <xf numFmtId="11" fontId="11" fillId="0" borderId="11" xfId="0" applyNumberFormat="1" applyFont="1" applyBorder="1" applyAlignment="1">
      <alignment wrapText="1"/>
    </xf>
    <xf numFmtId="11" fontId="20" fillId="0" borderId="11" xfId="0" applyNumberFormat="1" applyFont="1" applyBorder="1" applyAlignment="1">
      <alignment wrapText="1"/>
    </xf>
    <xf numFmtId="0" fontId="20" fillId="0" borderId="9" xfId="0" applyFont="1" applyBorder="1" applyAlignment="1">
      <alignment wrapText="1"/>
    </xf>
    <xf numFmtId="0" fontId="42" fillId="0" borderId="0" xfId="0" applyFont="1" applyAlignment="1"/>
    <xf numFmtId="0" fontId="20" fillId="0" borderId="12" xfId="0" applyFont="1" applyBorder="1" applyAlignment="1">
      <alignment wrapText="1"/>
    </xf>
    <xf numFmtId="0" fontId="20" fillId="14" borderId="11" xfId="0" applyFont="1" applyFill="1" applyBorder="1" applyAlignment="1">
      <alignment wrapText="1"/>
    </xf>
    <xf numFmtId="0" fontId="20" fillId="0" borderId="9" xfId="0" applyFont="1" applyBorder="1" applyAlignment="1">
      <alignment wrapText="1"/>
    </xf>
    <xf numFmtId="0" fontId="20" fillId="26" borderId="12" xfId="0" applyFont="1" applyFill="1" applyBorder="1" applyAlignment="1">
      <alignment wrapText="1"/>
    </xf>
    <xf numFmtId="0" fontId="20" fillId="0" borderId="11" xfId="0" applyFont="1" applyBorder="1" applyAlignment="1">
      <alignment wrapText="1"/>
    </xf>
    <xf numFmtId="4" fontId="42" fillId="0" borderId="0" xfId="0" applyNumberFormat="1" applyFont="1" applyAlignment="1">
      <alignment wrapText="1"/>
    </xf>
    <xf numFmtId="11" fontId="42" fillId="0" borderId="0" xfId="0" applyNumberFormat="1" applyFont="1" applyAlignment="1">
      <alignment wrapText="1"/>
    </xf>
    <xf numFmtId="11" fontId="42" fillId="0" borderId="12" xfId="0" applyNumberFormat="1" applyFont="1" applyBorder="1" applyAlignment="1">
      <alignment wrapText="1"/>
    </xf>
    <xf numFmtId="11" fontId="42" fillId="0" borderId="11" xfId="0" applyNumberFormat="1" applyFont="1" applyBorder="1" applyAlignment="1">
      <alignment wrapText="1"/>
    </xf>
    <xf numFmtId="11" fontId="42" fillId="0" borderId="9" xfId="0" applyNumberFormat="1" applyFont="1" applyBorder="1" applyAlignment="1">
      <alignment wrapText="1"/>
    </xf>
    <xf numFmtId="11" fontId="42" fillId="26" borderId="0" xfId="0" applyNumberFormat="1" applyFont="1" applyFill="1" applyAlignment="1">
      <alignment wrapText="1"/>
    </xf>
    <xf numFmtId="11" fontId="42" fillId="26" borderId="12" xfId="0" applyNumberFormat="1" applyFont="1" applyFill="1" applyBorder="1" applyAlignment="1">
      <alignment wrapText="1"/>
    </xf>
    <xf numFmtId="0" fontId="42" fillId="0" borderId="0" xfId="0" applyFont="1" applyAlignment="1">
      <alignment wrapText="1"/>
    </xf>
    <xf numFmtId="11" fontId="20" fillId="0" borderId="0" xfId="0" applyNumberFormat="1" applyFont="1" applyAlignment="1">
      <alignment wrapText="1"/>
    </xf>
    <xf numFmtId="11" fontId="20" fillId="0" borderId="12" xfId="0" applyNumberFormat="1" applyFont="1" applyBorder="1" applyAlignment="1">
      <alignment wrapText="1"/>
    </xf>
    <xf numFmtId="11" fontId="43" fillId="0" borderId="11" xfId="0" applyNumberFormat="1" applyFont="1" applyBorder="1" applyAlignment="1">
      <alignment wrapText="1"/>
    </xf>
    <xf numFmtId="11" fontId="20" fillId="0" borderId="20" xfId="0" applyNumberFormat="1" applyFont="1" applyBorder="1" applyAlignment="1">
      <alignment wrapText="1"/>
    </xf>
    <xf numFmtId="11" fontId="20" fillId="0" borderId="9" xfId="0" applyNumberFormat="1" applyFont="1" applyBorder="1" applyAlignment="1">
      <alignment wrapText="1"/>
    </xf>
    <xf numFmtId="0" fontId="42" fillId="14" borderId="0" xfId="0" applyFont="1" applyFill="1" applyAlignment="1"/>
    <xf numFmtId="0" fontId="42" fillId="14" borderId="0" xfId="0" applyFont="1" applyFill="1" applyAlignment="1"/>
    <xf numFmtId="0" fontId="1" fillId="0" borderId="1" xfId="0" applyFont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6" fillId="0" borderId="5" xfId="0" applyFont="1" applyBorder="1" applyAlignment="1">
      <alignment horizontal="left"/>
    </xf>
    <xf numFmtId="0" fontId="8" fillId="4" borderId="7" xfId="0" applyFont="1" applyFill="1" applyBorder="1" applyAlignment="1">
      <alignment horizontal="left" wrapText="1"/>
    </xf>
    <xf numFmtId="0" fontId="5" fillId="4" borderId="11" xfId="0" applyFont="1" applyFill="1" applyBorder="1" applyAlignment="1">
      <alignment horizontal="left" wrapText="1"/>
    </xf>
    <xf numFmtId="0" fontId="9" fillId="0" borderId="7" xfId="0" applyFont="1" applyBorder="1" applyAlignment="1">
      <alignment horizontal="left" wrapText="1"/>
    </xf>
    <xf numFmtId="0" fontId="10" fillId="0" borderId="7" xfId="0" applyFont="1" applyBorder="1" applyAlignment="1">
      <alignment horizontal="left" wrapText="1"/>
    </xf>
    <xf numFmtId="0" fontId="3" fillId="2" borderId="9" xfId="0" applyFont="1" applyFill="1" applyBorder="1" applyAlignment="1">
      <alignment horizontal="left" wrapText="1"/>
    </xf>
    <xf numFmtId="164" fontId="5" fillId="0" borderId="11" xfId="0" applyNumberFormat="1" applyFont="1" applyBorder="1" applyAlignment="1">
      <alignment horizontal="left" wrapText="1"/>
    </xf>
    <xf numFmtId="0" fontId="13" fillId="0" borderId="0" xfId="0" applyFont="1" applyAlignment="1">
      <alignment horizontal="left"/>
    </xf>
    <xf numFmtId="164" fontId="9" fillId="4" borderId="0" xfId="0" applyNumberFormat="1" applyFont="1" applyFill="1" applyAlignment="1">
      <alignment horizontal="left" wrapText="1"/>
    </xf>
    <xf numFmtId="0" fontId="11" fillId="0" borderId="11" xfId="0" applyFont="1" applyBorder="1" applyAlignment="1">
      <alignment horizontal="left" wrapText="1"/>
    </xf>
    <xf numFmtId="0" fontId="11" fillId="0" borderId="11" xfId="0" applyFont="1" applyBorder="1" applyAlignment="1">
      <alignment horizontal="left"/>
    </xf>
    <xf numFmtId="0" fontId="16" fillId="0" borderId="0" xfId="0" applyFont="1" applyAlignment="1">
      <alignment horizontal="left" wrapText="1"/>
    </xf>
    <xf numFmtId="0" fontId="2" fillId="2" borderId="0" xfId="0" applyFont="1" applyFill="1" applyAlignment="1">
      <alignment horizontal="left"/>
    </xf>
    <xf numFmtId="0" fontId="14" fillId="4" borderId="12" xfId="0" applyFont="1" applyFill="1" applyBorder="1" applyAlignment="1">
      <alignment horizontal="left"/>
    </xf>
    <xf numFmtId="0" fontId="5" fillId="0" borderId="23" xfId="0" applyFont="1" applyBorder="1" applyAlignment="1">
      <alignment horizontal="left" wrapText="1"/>
    </xf>
    <xf numFmtId="0" fontId="12" fillId="0" borderId="12" xfId="0" applyFont="1" applyBorder="1" applyAlignment="1">
      <alignment horizontal="left" wrapText="1"/>
    </xf>
    <xf numFmtId="0" fontId="14" fillId="0" borderId="23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3" fontId="5" fillId="0" borderId="0" xfId="0" applyNumberFormat="1" applyFont="1" applyAlignment="1">
      <alignment horizontal="left" wrapText="1"/>
    </xf>
    <xf numFmtId="0" fontId="2" fillId="4" borderId="0" xfId="0" applyFont="1" applyFill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" fillId="0" borderId="25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3" fillId="2" borderId="0" xfId="0" applyFont="1" applyFill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 wrapText="1"/>
    </xf>
    <xf numFmtId="0" fontId="22" fillId="0" borderId="0" xfId="0" applyFont="1" applyBorder="1" applyAlignment="1">
      <alignment horizontal="left" wrapText="1"/>
    </xf>
    <xf numFmtId="0" fontId="1" fillId="30" borderId="0" xfId="0" applyFont="1" applyFill="1" applyAlignment="1">
      <alignment horizontal="left" wrapText="1"/>
    </xf>
    <xf numFmtId="164" fontId="45" fillId="0" borderId="0" xfId="0" applyNumberFormat="1" applyFont="1" applyAlignment="1">
      <alignment horizontal="left" wrapText="1"/>
    </xf>
    <xf numFmtId="0" fontId="3" fillId="0" borderId="28" xfId="0" applyFont="1" applyBorder="1" applyAlignment="1">
      <alignment horizontal="left" wrapText="1"/>
    </xf>
    <xf numFmtId="3" fontId="2" fillId="0" borderId="28" xfId="0" applyNumberFormat="1" applyFont="1" applyBorder="1" applyAlignment="1">
      <alignment horizontal="left" wrapText="1"/>
    </xf>
    <xf numFmtId="0" fontId="0" fillId="0" borderId="28" xfId="0" applyFont="1" applyBorder="1" applyAlignment="1">
      <alignment horizontal="left" wrapText="1"/>
    </xf>
    <xf numFmtId="0" fontId="0" fillId="0" borderId="29" xfId="0" applyFont="1" applyBorder="1" applyAlignment="1">
      <alignment horizontal="left" wrapText="1"/>
    </xf>
    <xf numFmtId="0" fontId="2" fillId="0" borderId="30" xfId="0" applyFont="1" applyBorder="1" applyAlignment="1">
      <alignment horizontal="left" wrapText="1"/>
    </xf>
    <xf numFmtId="3" fontId="2" fillId="0" borderId="0" xfId="0" applyNumberFormat="1" applyFont="1" applyBorder="1" applyAlignment="1">
      <alignment horizontal="left" wrapText="1"/>
    </xf>
    <xf numFmtId="0" fontId="0" fillId="0" borderId="31" xfId="0" applyFont="1" applyBorder="1" applyAlignment="1">
      <alignment horizontal="left" wrapText="1"/>
    </xf>
    <xf numFmtId="0" fontId="12" fillId="0" borderId="30" xfId="0" applyFont="1" applyBorder="1" applyAlignment="1">
      <alignment horizontal="left" wrapText="1"/>
    </xf>
    <xf numFmtId="0" fontId="14" fillId="0" borderId="30" xfId="0" applyFont="1" applyBorder="1" applyAlignment="1">
      <alignment horizontal="left" wrapText="1"/>
    </xf>
    <xf numFmtId="0" fontId="14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0" fillId="0" borderId="30" xfId="0" applyFont="1" applyBorder="1" applyAlignment="1">
      <alignment horizontal="left" wrapText="1"/>
    </xf>
    <xf numFmtId="4" fontId="2" fillId="0" borderId="0" xfId="0" applyNumberFormat="1" applyFont="1" applyBorder="1" applyAlignment="1">
      <alignment horizontal="left" wrapText="1"/>
    </xf>
    <xf numFmtId="165" fontId="2" fillId="0" borderId="0" xfId="0" applyNumberFormat="1" applyFont="1" applyBorder="1" applyAlignment="1">
      <alignment horizontal="left" wrapText="1"/>
    </xf>
    <xf numFmtId="0" fontId="26" fillId="0" borderId="0" xfId="0" applyFont="1" applyBorder="1" applyAlignment="1">
      <alignment horizontal="left" wrapText="1"/>
    </xf>
    <xf numFmtId="0" fontId="2" fillId="0" borderId="32" xfId="0" applyFont="1" applyBorder="1" applyAlignment="1">
      <alignment horizontal="left" wrapText="1"/>
    </xf>
    <xf numFmtId="0" fontId="2" fillId="0" borderId="33" xfId="0" applyFont="1" applyBorder="1" applyAlignment="1">
      <alignment horizontal="left" wrapText="1"/>
    </xf>
    <xf numFmtId="0" fontId="0" fillId="0" borderId="33" xfId="0" applyFont="1" applyBorder="1" applyAlignment="1">
      <alignment horizontal="left" wrapText="1"/>
    </xf>
    <xf numFmtId="0" fontId="0" fillId="0" borderId="34" xfId="0" applyFont="1" applyBorder="1" applyAlignment="1">
      <alignment horizontal="left" wrapText="1"/>
    </xf>
    <xf numFmtId="0" fontId="6" fillId="0" borderId="0" xfId="0" applyFont="1" applyBorder="1" applyAlignment="1">
      <alignment horizontal="left"/>
    </xf>
    <xf numFmtId="0" fontId="25" fillId="0" borderId="0" xfId="0" applyFont="1" applyBorder="1" applyAlignment="1">
      <alignment horizontal="left" wrapText="1"/>
    </xf>
    <xf numFmtId="0" fontId="44" fillId="0" borderId="0" xfId="0" applyFont="1" applyBorder="1" applyAlignment="1">
      <alignment horizontal="left" wrapText="1"/>
    </xf>
    <xf numFmtId="4" fontId="44" fillId="4" borderId="0" xfId="0" applyNumberFormat="1" applyFont="1" applyFill="1" applyBorder="1" applyAlignment="1">
      <alignment horizontal="left" wrapText="1"/>
    </xf>
    <xf numFmtId="0" fontId="2" fillId="0" borderId="27" xfId="0" applyFont="1" applyBorder="1" applyAlignment="1">
      <alignment horizontal="left" wrapText="1"/>
    </xf>
    <xf numFmtId="0" fontId="2" fillId="0" borderId="28" xfId="0" applyFont="1" applyBorder="1" applyAlignment="1">
      <alignment horizontal="left" wrapText="1"/>
    </xf>
    <xf numFmtId="0" fontId="5" fillId="0" borderId="28" xfId="0" applyFont="1" applyBorder="1" applyAlignment="1">
      <alignment horizontal="left" wrapText="1"/>
    </xf>
    <xf numFmtId="3" fontId="5" fillId="0" borderId="28" xfId="0" applyNumberFormat="1" applyFont="1" applyBorder="1" applyAlignment="1">
      <alignment horizontal="left" wrapText="1"/>
    </xf>
    <xf numFmtId="4" fontId="2" fillId="0" borderId="28" xfId="0" applyNumberFormat="1" applyFont="1" applyBorder="1" applyAlignment="1">
      <alignment horizontal="left" wrapText="1"/>
    </xf>
    <xf numFmtId="0" fontId="2" fillId="0" borderId="29" xfId="0" applyFont="1" applyBorder="1" applyAlignment="1">
      <alignment horizontal="left" wrapText="1"/>
    </xf>
    <xf numFmtId="0" fontId="3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 wrapText="1"/>
    </xf>
    <xf numFmtId="0" fontId="20" fillId="0" borderId="30" xfId="0" applyFont="1" applyBorder="1" applyAlignment="1">
      <alignment horizontal="left" wrapText="1"/>
    </xf>
    <xf numFmtId="0" fontId="2" fillId="2" borderId="30" xfId="0" applyFont="1" applyFill="1" applyBorder="1" applyAlignment="1">
      <alignment horizontal="left" wrapText="1"/>
    </xf>
    <xf numFmtId="0" fontId="2" fillId="0" borderId="34" xfId="0" applyFont="1" applyBorder="1" applyAlignment="1">
      <alignment horizontal="left" wrapText="1"/>
    </xf>
    <xf numFmtId="0" fontId="5" fillId="0" borderId="3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2" fillId="0" borderId="9" xfId="0" applyFont="1" applyBorder="1" applyAlignment="1">
      <alignment wrapText="1"/>
    </xf>
    <xf numFmtId="169" fontId="2" fillId="0" borderId="10" xfId="0" applyNumberFormat="1" applyFont="1" applyBorder="1" applyAlignment="1" applyProtection="1">
      <alignment horizontal="left" wrapText="1"/>
      <protection hidden="1"/>
    </xf>
    <xf numFmtId="169" fontId="10" fillId="0" borderId="0" xfId="0" applyNumberFormat="1" applyFont="1" applyFill="1" applyAlignment="1">
      <alignment horizontal="left" wrapText="1"/>
    </xf>
    <xf numFmtId="0" fontId="2" fillId="0" borderId="36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2" fillId="0" borderId="9" xfId="0" applyFont="1" applyBorder="1" applyAlignment="1">
      <alignment wrapText="1"/>
    </xf>
    <xf numFmtId="169" fontId="15" fillId="0" borderId="9" xfId="0" applyNumberFormat="1" applyFont="1" applyBorder="1" applyAlignment="1">
      <alignment horizontal="left" wrapText="1"/>
    </xf>
    <xf numFmtId="0" fontId="4" fillId="30" borderId="0" xfId="0" applyFont="1" applyFill="1" applyAlignment="1">
      <alignment horizontal="left" wrapText="1"/>
    </xf>
    <xf numFmtId="0" fontId="0" fillId="27" borderId="0" xfId="0" applyFont="1" applyFill="1" applyAlignment="1">
      <alignment horizontal="left" wrapText="1"/>
    </xf>
    <xf numFmtId="0" fontId="2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5" fillId="0" borderId="31" xfId="0" applyFont="1" applyBorder="1" applyAlignment="1">
      <alignment horizontal="left" wrapText="1"/>
    </xf>
    <xf numFmtId="0" fontId="1" fillId="3" borderId="0" xfId="0" applyFont="1" applyFill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3" fillId="0" borderId="27" xfId="0" applyFont="1" applyBorder="1" applyAlignment="1">
      <alignment horizontal="left" wrapText="1"/>
    </xf>
    <xf numFmtId="0" fontId="0" fillId="0" borderId="28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19" fillId="0" borderId="7" xfId="0" applyFont="1" applyBorder="1" applyAlignment="1">
      <alignment horizontal="left"/>
    </xf>
    <xf numFmtId="0" fontId="2" fillId="0" borderId="7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2" fillId="9" borderId="5" xfId="0" applyFont="1" applyFill="1" applyBorder="1" applyAlignment="1">
      <alignment horizontal="left" wrapText="1"/>
    </xf>
    <xf numFmtId="0" fontId="2" fillId="0" borderId="6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15" borderId="5" xfId="0" applyFont="1" applyFill="1" applyBorder="1" applyAlignment="1">
      <alignment horizontal="left" wrapText="1"/>
    </xf>
    <xf numFmtId="0" fontId="2" fillId="6" borderId="5" xfId="0" applyFont="1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35" fillId="4" borderId="0" xfId="0" applyFont="1" applyFill="1" applyAlignment="1">
      <alignment horizontal="left" wrapText="1"/>
    </xf>
    <xf numFmtId="0" fontId="8" fillId="9" borderId="5" xfId="0" applyFont="1" applyFill="1" applyBorder="1" applyAlignment="1">
      <alignment wrapText="1"/>
    </xf>
    <xf numFmtId="0" fontId="8" fillId="0" borderId="5" xfId="0" applyFont="1" applyBorder="1" applyAlignment="1">
      <alignment wrapText="1"/>
    </xf>
    <xf numFmtId="0" fontId="5" fillId="0" borderId="13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36" fillId="14" borderId="0" xfId="0" applyFont="1" applyFill="1" applyAlignment="1">
      <alignment wrapText="1"/>
    </xf>
    <xf numFmtId="0" fontId="3" fillId="23" borderId="0" xfId="0" applyFont="1" applyFill="1" applyAlignment="1">
      <alignment vertical="top" wrapText="1"/>
    </xf>
    <xf numFmtId="0" fontId="3" fillId="14" borderId="0" xfId="0" applyFont="1" applyFill="1" applyAlignment="1">
      <alignment vertical="top" wrapText="1"/>
    </xf>
    <xf numFmtId="0" fontId="1" fillId="2" borderId="9" xfId="0" applyFont="1" applyFill="1" applyBorder="1" applyAlignment="1">
      <alignment wrapText="1"/>
    </xf>
    <xf numFmtId="0" fontId="2" fillId="0" borderId="9" xfId="0" applyFont="1" applyBorder="1" applyAlignment="1">
      <alignment wrapText="1"/>
    </xf>
    <xf numFmtId="0" fontId="3" fillId="14" borderId="0" xfId="0" applyFont="1" applyFill="1" applyAlignment="1">
      <alignment wrapText="1"/>
    </xf>
    <xf numFmtId="0" fontId="3" fillId="0" borderId="10" xfId="0" applyFont="1" applyBorder="1" applyAlignment="1">
      <alignment wrapText="1"/>
    </xf>
    <xf numFmtId="0" fontId="2" fillId="0" borderId="23" xfId="0" applyFont="1" applyBorder="1" applyAlignment="1">
      <alignment wrapText="1"/>
    </xf>
    <xf numFmtId="0" fontId="3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3" fillId="0" borderId="35" xfId="0" applyFont="1" applyBorder="1" applyAlignment="1" applyProtection="1">
      <alignment horizontal="left" wrapText="1"/>
      <protection hidden="1"/>
    </xf>
    <xf numFmtId="4" fontId="3" fillId="2" borderId="26" xfId="0" applyNumberFormat="1" applyFont="1" applyFill="1" applyBorder="1" applyAlignment="1" applyProtection="1">
      <alignment horizontal="left" wrapText="1"/>
      <protection locked="0"/>
    </xf>
    <xf numFmtId="0" fontId="3" fillId="2" borderId="21" xfId="0" applyFont="1" applyFill="1" applyBorder="1" applyAlignment="1" applyProtection="1">
      <alignment horizontal="left" wrapText="1"/>
      <protection locked="0"/>
    </xf>
    <xf numFmtId="0" fontId="3" fillId="2" borderId="11" xfId="0" applyFont="1" applyFill="1" applyBorder="1" applyAlignment="1" applyProtection="1">
      <alignment horizontal="left" wrapText="1"/>
      <protection locked="0"/>
    </xf>
    <xf numFmtId="0" fontId="2" fillId="0" borderId="18" xfId="1" applyFont="1" applyBorder="1" applyAlignment="1" applyProtection="1">
      <alignment horizontal="left" wrapText="1"/>
      <protection hidden="1"/>
    </xf>
    <xf numFmtId="0" fontId="3" fillId="2" borderId="18" xfId="0" applyFont="1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1" fillId="2" borderId="3" xfId="0" applyFont="1" applyFill="1" applyBorder="1" applyAlignment="1" applyProtection="1">
      <alignment horizontal="center" wrapText="1"/>
      <protection locked="0"/>
    </xf>
    <xf numFmtId="0" fontId="11" fillId="2" borderId="9" xfId="0" applyFont="1" applyFill="1" applyBorder="1" applyAlignment="1" applyProtection="1">
      <alignment wrapText="1"/>
      <protection locked="0"/>
    </xf>
    <xf numFmtId="0" fontId="8" fillId="2" borderId="13" xfId="0" applyFont="1" applyFill="1" applyBorder="1" applyAlignment="1" applyProtection="1">
      <alignment horizontal="left" wrapText="1"/>
      <protection locked="0"/>
    </xf>
    <xf numFmtId="0" fontId="2" fillId="2" borderId="0" xfId="0" applyFont="1" applyFill="1" applyBorder="1" applyAlignment="1" applyProtection="1">
      <alignment horizontal="left" wrapText="1"/>
      <protection locked="0"/>
    </xf>
    <xf numFmtId="164" fontId="2" fillId="28" borderId="0" xfId="0" applyNumberFormat="1" applyFont="1" applyFill="1" applyBorder="1" applyAlignment="1" applyProtection="1">
      <alignment horizontal="left" wrapText="1"/>
      <protection locked="0"/>
    </xf>
    <xf numFmtId="4" fontId="2" fillId="28" borderId="0" xfId="0" applyNumberFormat="1" applyFont="1" applyFill="1" applyBorder="1" applyAlignment="1" applyProtection="1">
      <alignment horizontal="left" wrapText="1"/>
      <protection locked="0"/>
    </xf>
    <xf numFmtId="164" fontId="2" fillId="29" borderId="0" xfId="0" applyNumberFormat="1" applyFont="1" applyFill="1" applyBorder="1" applyAlignment="1" applyProtection="1">
      <alignment horizontal="left" wrapText="1"/>
      <protection locked="0"/>
    </xf>
    <xf numFmtId="4" fontId="2" fillId="29" borderId="0" xfId="0" applyNumberFormat="1" applyFont="1" applyFill="1" applyBorder="1" applyAlignment="1" applyProtection="1">
      <alignment horizontal="left" wrapText="1"/>
      <protection locked="0"/>
    </xf>
    <xf numFmtId="0" fontId="3" fillId="2" borderId="0" xfId="0" applyFont="1" applyFill="1" applyBorder="1" applyAlignment="1" applyProtection="1">
      <alignment horizontal="left" wrapText="1"/>
      <protection locked="0"/>
    </xf>
    <xf numFmtId="3" fontId="3" fillId="2" borderId="0" xfId="0" applyNumberFormat="1" applyFont="1" applyFill="1" applyBorder="1" applyAlignment="1" applyProtection="1">
      <alignment horizontal="left" wrapText="1"/>
      <protection locked="0"/>
    </xf>
    <xf numFmtId="0" fontId="2" fillId="2" borderId="11" xfId="0" applyFont="1" applyFill="1" applyBorder="1" applyAlignment="1" applyProtection="1">
      <alignment horizontal="left" wrapText="1"/>
      <protection locked="0"/>
    </xf>
    <xf numFmtId="0" fontId="3" fillId="2" borderId="14" xfId="0" applyFont="1" applyFill="1" applyBorder="1" applyAlignment="1" applyProtection="1">
      <alignment horizontal="left" wrapText="1"/>
      <protection locked="0"/>
    </xf>
    <xf numFmtId="0" fontId="2" fillId="0" borderId="11" xfId="0" applyFont="1" applyBorder="1" applyAlignment="1" applyProtection="1">
      <alignment horizontal="left" wrapText="1"/>
      <protection hidden="1"/>
    </xf>
    <xf numFmtId="164" fontId="5" fillId="4" borderId="11" xfId="0" applyNumberFormat="1" applyFont="1" applyFill="1" applyBorder="1" applyAlignment="1" applyProtection="1">
      <alignment horizontal="left" wrapText="1"/>
      <protection hidden="1"/>
    </xf>
    <xf numFmtId="0" fontId="3" fillId="2" borderId="10" xfId="0" applyFont="1" applyFill="1" applyBorder="1" applyAlignment="1" applyProtection="1">
      <alignment horizontal="left" wrapText="1"/>
      <protection locked="0"/>
    </xf>
    <xf numFmtId="0" fontId="2" fillId="0" borderId="17" xfId="0" applyFont="1" applyBorder="1" applyAlignment="1" applyProtection="1">
      <alignment horizontal="left" wrapText="1"/>
      <protection hidden="1"/>
    </xf>
    <xf numFmtId="3" fontId="2" fillId="0" borderId="11" xfId="0" applyNumberFormat="1" applyFont="1" applyBorder="1" applyAlignment="1" applyProtection="1">
      <alignment horizontal="left" wrapText="1"/>
      <protection hidden="1"/>
    </xf>
    <xf numFmtId="165" fontId="2" fillId="0" borderId="11" xfId="0" applyNumberFormat="1" applyFont="1" applyBorder="1" applyAlignment="1" applyProtection="1">
      <alignment horizontal="left" wrapText="1"/>
      <protection hidden="1"/>
    </xf>
    <xf numFmtId="4" fontId="2" fillId="0" borderId="11" xfId="0" applyNumberFormat="1" applyFont="1" applyBorder="1" applyAlignment="1" applyProtection="1">
      <alignment horizontal="left" wrapText="1"/>
      <protection hidden="1"/>
    </xf>
    <xf numFmtId="164" fontId="2" fillId="0" borderId="11" xfId="0" applyNumberFormat="1" applyFont="1" applyBorder="1" applyAlignment="1" applyProtection="1">
      <alignment horizontal="left" wrapText="1"/>
      <protection hidden="1"/>
    </xf>
  </cellXfs>
  <cellStyles count="2">
    <cellStyle name="Normal" xfId="0" builtinId="0"/>
    <cellStyle name="Normal 2" xfId="1" xr:uid="{00000000-0005-0000-0000-00002F000000}"/>
  </cellStyles>
  <dxfs count="33">
    <dxf>
      <fill>
        <patternFill patternType="solid">
          <fgColor rgb="FF00FF00"/>
          <bgColor rgb="FF00FF00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alignment wrapText="1"/>
      <border>
        <left/>
        <right/>
        <top/>
        <bottom/>
      </border>
    </dxf>
    <dxf>
      <fill>
        <patternFill>
          <bgColor rgb="FFFF000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ill>
        <patternFill patternType="solid">
          <fgColor rgb="FFB7E1CD"/>
          <bgColor rgb="FFB7E1CD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6B26B"/>
          <bgColor rgb="FFF6B26B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ont>
        <color rgb="FFFFFF00"/>
      </font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ont>
        <color rgb="FFD9D9D9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ont>
        <color rgb="FFFFFFFF"/>
      </font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ont>
        <color rgb="FFFFFF00"/>
      </font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93C47D"/>
          <bgColor rgb="FF93C47D"/>
        </patternFill>
      </fill>
      <alignment wrapText="1"/>
      <border>
        <left/>
        <right/>
        <top/>
        <bottom/>
      </border>
    </dxf>
    <dxf>
      <fill>
        <patternFill patternType="solid">
          <fgColor rgb="FFCC4125"/>
          <bgColor rgb="FFCC4125"/>
        </patternFill>
      </fill>
      <alignment wrapText="1"/>
      <border>
        <left/>
        <right/>
        <top/>
        <bottom/>
      </border>
    </dxf>
    <dxf>
      <fill>
        <patternFill patternType="solid">
          <fgColor rgb="FF93C47D"/>
          <bgColor rgb="FFFF0000"/>
        </patternFill>
      </fill>
      <alignment wrapText="1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1"/>
      <border>
        <left/>
        <right/>
        <top/>
        <bottom/>
      </border>
    </dxf>
    <dxf>
      <fill>
        <patternFill patternType="solid">
          <fgColor rgb="FFE06666"/>
          <bgColor rgb="FFE06666"/>
        </patternFill>
      </fill>
      <alignment wrapText="1"/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alignment wrapText="1"/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782829251744541E-2"/>
          <c:y val="3.6648994572889539E-2"/>
          <c:w val="0.85668863456978783"/>
          <c:h val="0.89234390521901896"/>
        </c:manualLayout>
      </c:layout>
      <c:scatterChart>
        <c:scatterStyle val="smoothMarker"/>
        <c:varyColors val="1"/>
        <c:ser>
          <c:idx val="2"/>
          <c:order val="2"/>
          <c:tx>
            <c:strRef>
              <c:f>PNoise!$E$13</c:f>
              <c:strCache>
                <c:ptCount val="1"/>
                <c:pt idx="0">
                  <c:v>pll_1/f</c:v>
                </c:pt>
              </c:strCache>
            </c:strRef>
          </c:tx>
          <c:spPr>
            <a:ln w="25400" cmpd="sng">
              <a:solidFill>
                <a:srgbClr val="F1C232"/>
              </a:solidFill>
            </a:ln>
          </c:spPr>
          <c:marker>
            <c:symbol val="circle"/>
            <c:size val="5"/>
            <c:spPr>
              <a:solidFill>
                <a:srgbClr val="F1C232"/>
              </a:solidFill>
              <a:ln cmpd="sng">
                <a:solidFill>
                  <a:srgbClr val="F1C232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PNoise!$E$14:$E$27</c:f>
              <c:numCache>
                <c:formatCode>#,##0.00</c:formatCode>
                <c:ptCount val="14"/>
                <c:pt idx="0">
                  <c:v>-76.054268775171508</c:v>
                </c:pt>
                <c:pt idx="1">
                  <c:v>-86.042429713602587</c:v>
                </c:pt>
                <c:pt idx="2">
                  <c:v>-91.894435883071651</c:v>
                </c:pt>
                <c:pt idx="3">
                  <c:v>-95.205081678300346</c:v>
                </c:pt>
                <c:pt idx="4">
                  <c:v>-97.425697623295747</c:v>
                </c:pt>
                <c:pt idx="5">
                  <c:v>-101.16876155576911</c:v>
                </c:pt>
                <c:pt idx="6">
                  <c:v>-108.13023534072143</c:v>
                </c:pt>
                <c:pt idx="7">
                  <c:v>-111.07962967031993</c:v>
                </c:pt>
                <c:pt idx="8">
                  <c:v>-122.21730737095717</c:v>
                </c:pt>
                <c:pt idx="9">
                  <c:v>-135.68123873323768</c:v>
                </c:pt>
                <c:pt idx="10">
                  <c:v>-155.13537673266501</c:v>
                </c:pt>
                <c:pt idx="11">
                  <c:v>-210.94437590809861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F13-4036-99BD-B9AAF034E8E1}"/>
            </c:ext>
          </c:extLst>
        </c:ser>
        <c:ser>
          <c:idx val="3"/>
          <c:order val="3"/>
          <c:tx>
            <c:strRef>
              <c:f>PNoise!$F$13</c:f>
              <c:strCache>
                <c:ptCount val="1"/>
                <c:pt idx="0">
                  <c:v>pll_flat</c:v>
                </c:pt>
              </c:strCache>
            </c:strRef>
          </c:tx>
          <c:spPr>
            <a:ln w="25400" cmpd="sng">
              <a:solidFill>
                <a:srgbClr val="F6B26B"/>
              </a:solidFill>
            </a:ln>
          </c:spPr>
          <c:marker>
            <c:symbol val="circle"/>
            <c:size val="5"/>
            <c:spPr>
              <a:solidFill>
                <a:srgbClr val="F6B26B"/>
              </a:solidFill>
              <a:ln cmpd="sng">
                <a:solidFill>
                  <a:srgbClr val="F6B26B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PNoise!$F$14:$F$27</c:f>
              <c:numCache>
                <c:formatCode>#,##0.0</c:formatCode>
                <c:ptCount val="14"/>
                <c:pt idx="0">
                  <c:v>-69.153025112293122</c:v>
                </c:pt>
                <c:pt idx="1">
                  <c:v>-69.141186050724201</c:v>
                </c:pt>
                <c:pt idx="2">
                  <c:v>-68.97259230691364</c:v>
                </c:pt>
                <c:pt idx="3">
                  <c:v>-68.30383801542196</c:v>
                </c:pt>
                <c:pt idx="4">
                  <c:v>-67.514154003777548</c:v>
                </c:pt>
                <c:pt idx="5">
                  <c:v>-68.246917979611098</c:v>
                </c:pt>
                <c:pt idx="6">
                  <c:v>-72.198091807923603</c:v>
                </c:pt>
                <c:pt idx="7">
                  <c:v>-74.178386007441546</c:v>
                </c:pt>
                <c:pt idx="8">
                  <c:v>-82.305763751438974</c:v>
                </c:pt>
                <c:pt idx="9">
                  <c:v>-92.759395157079666</c:v>
                </c:pt>
                <c:pt idx="10">
                  <c:v>-108.23413306978661</c:v>
                </c:pt>
                <c:pt idx="11">
                  <c:v>-154.04313224522019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F13-4036-99BD-B9AAF034E8E1}"/>
            </c:ext>
          </c:extLst>
        </c:ser>
        <c:ser>
          <c:idx val="4"/>
          <c:order val="4"/>
          <c:tx>
            <c:strRef>
              <c:f>PNoise!$G$13</c:f>
              <c:strCache>
                <c:ptCount val="1"/>
                <c:pt idx="0">
                  <c:v>vcxo</c:v>
                </c:pt>
              </c:strCache>
            </c:strRef>
          </c:tx>
          <c:spPr>
            <a:ln w="12700" cmpd="sng">
              <a:solidFill>
                <a:srgbClr val="FF00FF"/>
              </a:solidFill>
            </a:ln>
          </c:spPr>
          <c:marker>
            <c:symbol val="circle"/>
            <c:size val="2"/>
            <c:spPr>
              <a:solidFill>
                <a:srgbClr val="FF00FF"/>
              </a:solidFill>
              <a:ln cmpd="sng">
                <a:solidFill>
                  <a:srgbClr val="FF00FF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PNoise!$G$14:$G$27</c:f>
              <c:numCache>
                <c:formatCode>#,##0.0</c:formatCode>
                <c:ptCount val="14"/>
                <c:pt idx="0">
                  <c:v>-90.334181102533208</c:v>
                </c:pt>
                <c:pt idx="1">
                  <c:v>-91.322342040964287</c:v>
                </c:pt>
                <c:pt idx="2">
                  <c:v>-92.353748297153714</c:v>
                </c:pt>
                <c:pt idx="3">
                  <c:v>-92.484994005662045</c:v>
                </c:pt>
                <c:pt idx="4">
                  <c:v>-92.59530999401764</c:v>
                </c:pt>
                <c:pt idx="5">
                  <c:v>-94.228073969851195</c:v>
                </c:pt>
                <c:pt idx="6">
                  <c:v>-99.079247798163678</c:v>
                </c:pt>
                <c:pt idx="7">
                  <c:v>-101.35954199768163</c:v>
                </c:pt>
                <c:pt idx="8">
                  <c:v>-111.88691974167907</c:v>
                </c:pt>
                <c:pt idx="9">
                  <c:v>-124.74055114731976</c:v>
                </c:pt>
                <c:pt idx="10">
                  <c:v>-143.41528906002668</c:v>
                </c:pt>
                <c:pt idx="11">
                  <c:v>-245.22428823546028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F13-4036-99BD-B9AAF034E8E1}"/>
            </c:ext>
          </c:extLst>
        </c:ser>
        <c:ser>
          <c:idx val="5"/>
          <c:order val="5"/>
          <c:tx>
            <c:strRef>
              <c:f>PNoise!$H$13</c:f>
              <c:strCache>
                <c:ptCount val="1"/>
                <c:pt idx="0">
                  <c:v>vco</c:v>
                </c:pt>
              </c:strCache>
            </c:strRef>
          </c:tx>
          <c:spPr>
            <a:ln w="25400" cmpd="sng">
              <a:solidFill>
                <a:srgbClr val="8E7CC3"/>
              </a:solidFill>
            </a:ln>
          </c:spPr>
          <c:marker>
            <c:symbol val="circle"/>
            <c:size val="5"/>
            <c:spPr>
              <a:solidFill>
                <a:srgbClr val="8E7CC3"/>
              </a:solidFill>
              <a:ln cmpd="sng">
                <a:solidFill>
                  <a:srgbClr val="8E7CC3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PNoise!$H$14:$H$27</c:f>
              <c:numCache>
                <c:formatCode>General</c:formatCode>
                <c:ptCount val="14"/>
                <c:pt idx="0">
                  <c:v>-118.18790236659544</c:v>
                </c:pt>
                <c:pt idx="1">
                  <c:v>-98.197405623382181</c:v>
                </c:pt>
                <c:pt idx="2">
                  <c:v>-92.257473533950701</c:v>
                </c:pt>
                <c:pt idx="3">
                  <c:v>-89.089703154398819</c:v>
                </c:pt>
                <c:pt idx="4">
                  <c:v>-85.242131181490905</c:v>
                </c:pt>
                <c:pt idx="5">
                  <c:v>-84.601867880840089</c:v>
                </c:pt>
                <c:pt idx="6">
                  <c:v>-87.767340890378705</c:v>
                </c:pt>
                <c:pt idx="7">
                  <c:v>-89.492541499122311</c:v>
                </c:pt>
                <c:pt idx="8">
                  <c:v>-95.769932147903745</c:v>
                </c:pt>
                <c:pt idx="9">
                  <c:v>-102.49104577282235</c:v>
                </c:pt>
                <c:pt idx="10">
                  <c:v>-110.90403413288493</c:v>
                </c:pt>
                <c:pt idx="11">
                  <c:v>-114.99974463675878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F13-4036-99BD-B9AAF034E8E1}"/>
            </c:ext>
          </c:extLst>
        </c:ser>
        <c:ser>
          <c:idx val="6"/>
          <c:order val="6"/>
          <c:tx>
            <c:strRef>
              <c:f>PNoise!$I$13</c:f>
              <c:strCache>
                <c:ptCount val="1"/>
                <c:pt idx="0">
                  <c:v>sdm</c:v>
                </c:pt>
              </c:strCache>
            </c:strRef>
          </c:tx>
          <c:spPr>
            <a:ln w="25400" cmpd="sng">
              <a:solidFill>
                <a:srgbClr val="FFF2CC"/>
              </a:solidFill>
            </a:ln>
          </c:spPr>
          <c:marker>
            <c:symbol val="circle"/>
            <c:size val="5"/>
            <c:spPr>
              <a:solidFill>
                <a:srgbClr val="FFF2CC"/>
              </a:solidFill>
              <a:ln cmpd="sng">
                <a:solidFill>
                  <a:srgbClr val="FFF2CC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PNoise!$I$14:$I$27</c:f>
              <c:numCache>
                <c:formatCode>General</c:formatCode>
                <c:ptCount val="14"/>
                <c:pt idx="0">
                  <c:v>-183.39468225533085</c:v>
                </c:pt>
                <c:pt idx="1">
                  <c:v>-143.38287022568002</c:v>
                </c:pt>
                <c:pt idx="2">
                  <c:v>-119.13228640532616</c:v>
                </c:pt>
                <c:pt idx="3">
                  <c:v>-102.54822546716024</c:v>
                </c:pt>
                <c:pt idx="4">
                  <c:v>-89.725534404545812</c:v>
                </c:pt>
                <c:pt idx="5">
                  <c:v>-78.449885126082847</c:v>
                </c:pt>
                <c:pt idx="6">
                  <c:v>-70.491253873561774</c:v>
                </c:pt>
                <c:pt idx="7">
                  <c:v>-68.693956003246157</c:v>
                </c:pt>
                <c:pt idx="8">
                  <c:v>-65.612491435332089</c:v>
                </c:pt>
                <c:pt idx="9">
                  <c:v>-67.530953329713697</c:v>
                </c:pt>
                <c:pt idx="10">
                  <c:v>-128.02112322523089</c:v>
                </c:pt>
                <c:pt idx="11">
                  <c:v>-178.02112322523089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F13-4036-99BD-B9AAF034E8E1}"/>
            </c:ext>
          </c:extLst>
        </c:ser>
        <c:ser>
          <c:idx val="7"/>
          <c:order val="7"/>
          <c:tx>
            <c:strRef>
              <c:f>PNoise!$J$13</c:f>
              <c:strCache>
                <c:ptCount val="1"/>
                <c:pt idx="0">
                  <c:v>r2</c:v>
                </c:pt>
              </c:strCache>
            </c:strRef>
          </c:tx>
          <c:spPr>
            <a:ln w="12700" cmpd="sng">
              <a:solidFill>
                <a:srgbClr val="B6D7A8"/>
              </a:solidFill>
            </a:ln>
          </c:spPr>
          <c:marker>
            <c:symbol val="circle"/>
            <c:size val="2"/>
            <c:spPr>
              <a:solidFill>
                <a:srgbClr val="B6D7A8"/>
              </a:solidFill>
              <a:ln cmpd="sng">
                <a:solidFill>
                  <a:srgbClr val="B6D7A8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PNoise!$J$14:$J$27</c:f>
              <c:numCache>
                <c:formatCode>#,##0.00</c:formatCode>
                <c:ptCount val="14"/>
                <c:pt idx="0">
                  <c:v>-139.86176270004594</c:v>
                </c:pt>
                <c:pt idx="1">
                  <c:v>-119.87136547264998</c:v>
                </c:pt>
                <c:pt idx="2">
                  <c:v>-107.97414074686608</c:v>
                </c:pt>
                <c:pt idx="3">
                  <c:v>-100.77360311330347</c:v>
                </c:pt>
                <c:pt idx="4">
                  <c:v>-96.976614725331231</c:v>
                </c:pt>
                <c:pt idx="5">
                  <c:v>-96.474862424385478</c:v>
                </c:pt>
                <c:pt idx="6">
                  <c:v>-100.1030233389917</c:v>
                </c:pt>
                <c:pt idx="7">
                  <c:v>-102.07082081405362</c:v>
                </c:pt>
                <c:pt idx="8">
                  <c:v>-110.31278705560322</c:v>
                </c:pt>
                <c:pt idx="9">
                  <c:v>-120.94449776765119</c:v>
                </c:pt>
                <c:pt idx="10">
                  <c:v>-136.51398174648347</c:v>
                </c:pt>
                <c:pt idx="11">
                  <c:v>-181.90285765968511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F13-4036-99BD-B9AAF034E8E1}"/>
            </c:ext>
          </c:extLst>
        </c:ser>
        <c:ser>
          <c:idx val="8"/>
          <c:order val="8"/>
          <c:tx>
            <c:strRef>
              <c:f>PNoise!$K$13</c:f>
              <c:strCache>
                <c:ptCount val="1"/>
                <c:pt idx="0">
                  <c:v>r3</c:v>
                </c:pt>
              </c:strCache>
            </c:strRef>
          </c:tx>
          <c:spPr>
            <a:ln w="12700" cmpd="sng">
              <a:solidFill>
                <a:srgbClr val="6FA8DC"/>
              </a:solidFill>
            </a:ln>
          </c:spPr>
          <c:marker>
            <c:symbol val="circle"/>
            <c:size val="2"/>
            <c:spPr>
              <a:solidFill>
                <a:srgbClr val="6FA8DC"/>
              </a:solidFill>
              <a:ln cmpd="sng">
                <a:solidFill>
                  <a:srgbClr val="6FA8DC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PNoise!$K$14:$K$27</c:f>
              <c:numCache>
                <c:formatCode>#,##0.00</c:formatCode>
                <c:ptCount val="14"/>
                <c:pt idx="0">
                  <c:v>-146.67945908952765</c:v>
                </c:pt>
                <c:pt idx="1">
                  <c:v>-126.68904021705438</c:v>
                </c:pt>
                <c:pt idx="2">
                  <c:v>-114.79148760746639</c:v>
                </c:pt>
                <c:pt idx="3">
                  <c:v>-107.58911631268228</c:v>
                </c:pt>
                <c:pt idx="4">
                  <c:v>-103.78561331449565</c:v>
                </c:pt>
                <c:pt idx="5">
                  <c:v>-103.25831942065645</c:v>
                </c:pt>
                <c:pt idx="6">
                  <c:v>-106.79162084734772</c:v>
                </c:pt>
                <c:pt idx="7">
                  <c:v>-108.69467627304051</c:v>
                </c:pt>
                <c:pt idx="8">
                  <c:v>-116.51879474805349</c:v>
                </c:pt>
                <c:pt idx="9">
                  <c:v>-126.11374411703285</c:v>
                </c:pt>
                <c:pt idx="10">
                  <c:v>-138.09257080520075</c:v>
                </c:pt>
                <c:pt idx="11">
                  <c:v>-165.69821228937164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F13-4036-99BD-B9AAF034E8E1}"/>
            </c:ext>
          </c:extLst>
        </c:ser>
        <c:ser>
          <c:idx val="11"/>
          <c:order val="11"/>
          <c:tx>
            <c:strRef>
              <c:f>PNoise!$N$13</c:f>
              <c:strCache>
                <c:ptCount val="1"/>
                <c:pt idx="0">
                  <c:v>overall_div</c:v>
                </c:pt>
              </c:strCache>
            </c:strRef>
          </c:tx>
          <c:spPr>
            <a:ln w="50800" cmpd="sng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PNoise!$N$14:$N$27</c:f>
              <c:numCache>
                <c:formatCode>#,##0.00</c:formatCode>
                <c:ptCount val="14"/>
                <c:pt idx="0">
                  <c:v>-68.318906699037598</c:v>
                </c:pt>
                <c:pt idx="1">
                  <c:v>-69.022453546290194</c:v>
                </c:pt>
                <c:pt idx="2">
                  <c:v>-68.909862124531074</c:v>
                </c:pt>
                <c:pt idx="3">
                  <c:v>-68.238044661779341</c:v>
                </c:pt>
                <c:pt idx="4">
                  <c:v>-67.392637836893613</c:v>
                </c:pt>
                <c:pt idx="5">
                  <c:v>-67.741442603238639</c:v>
                </c:pt>
                <c:pt idx="6">
                  <c:v>-68.195389222227021</c:v>
                </c:pt>
                <c:pt idx="7">
                  <c:v>-67.580223656441746</c:v>
                </c:pt>
                <c:pt idx="8">
                  <c:v>-65.516092187623343</c:v>
                </c:pt>
                <c:pt idx="9">
                  <c:v>-67.516526678817257</c:v>
                </c:pt>
                <c:pt idx="10">
                  <c:v>-106.31930942017914</c:v>
                </c:pt>
                <c:pt idx="11">
                  <c:v>-114.99916333566119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F13-4036-99BD-B9AAF034E8E1}"/>
            </c:ext>
          </c:extLst>
        </c:ser>
        <c:ser>
          <c:idx val="12"/>
          <c:order val="12"/>
          <c:tx>
            <c:strRef>
              <c:f>PNoise!$O$13</c:f>
              <c:strCache>
                <c:ptCount val="1"/>
                <c:pt idx="0">
                  <c:v>LIMIT</c:v>
                </c:pt>
              </c:strCache>
            </c:strRef>
          </c:tx>
          <c:spPr>
            <a:ln w="50800" cmpd="sng">
              <a:solidFill>
                <a:srgbClr val="434343"/>
              </a:solidFill>
            </a:ln>
          </c:spPr>
          <c:marker>
            <c:symbol val="circle"/>
            <c:size val="7"/>
            <c:spPr>
              <a:solidFill>
                <a:srgbClr val="434343"/>
              </a:solidFill>
              <a:ln cmpd="sng">
                <a:solidFill>
                  <a:srgbClr val="434343"/>
                </a:solidFill>
              </a:ln>
            </c:spPr>
          </c:marker>
          <c:xVal>
            <c:numRef>
              <c:f>PNoise!$B$14:$B$27</c:f>
              <c:numCache>
                <c:formatCode>General</c:formatCode>
                <c:ptCount val="14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  <c:pt idx="12">
                  <c:v>1000</c:v>
                </c:pt>
                <c:pt idx="13">
                  <c:v>1000000</c:v>
                </c:pt>
              </c:numCache>
            </c:numRef>
          </c:xVal>
          <c:yVal>
            <c:numRef>
              <c:f>PNoise!$O$14:$O$27</c:f>
              <c:numCache>
                <c:formatCode>General</c:formatCode>
                <c:ptCount val="14"/>
                <c:pt idx="12">
                  <c:v>-150</c:v>
                </c:pt>
                <c:pt idx="13">
                  <c:v>-150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F13-4036-99BD-B9AAF034E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067368"/>
        <c:axId val="11706776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PNoise!$C$13</c15:sqref>
                        </c15:formulaRef>
                      </c:ext>
                    </c:extLst>
                    <c:strCache>
                      <c:ptCount val="1"/>
                      <c:pt idx="0">
                        <c:v>xtal1</c:v>
                      </c:pt>
                    </c:strCache>
                  </c:strRef>
                </c:tx>
                <c:spPr>
                  <a:ln w="12700" cmpd="sng">
                    <a:solidFill>
                      <a:srgbClr val="FF00FF"/>
                    </a:solidFill>
                  </a:ln>
                </c:spPr>
                <c:marker>
                  <c:symbol val="circle"/>
                  <c:size val="2"/>
                  <c:spPr>
                    <a:solidFill>
                      <a:srgbClr val="FF00FF"/>
                    </a:solidFill>
                    <a:ln cmpd="sng">
                      <a:solidFill>
                        <a:srgbClr val="FF00FF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PNoise!$B$14:$B$27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100</c:v>
                      </c:pt>
                      <c:pt idx="1">
                        <c:v>1000</c:v>
                      </c:pt>
                      <c:pt idx="2">
                        <c:v>4000</c:v>
                      </c:pt>
                      <c:pt idx="3">
                        <c:v>10000</c:v>
                      </c:pt>
                      <c:pt idx="4">
                        <c:v>20000</c:v>
                      </c:pt>
                      <c:pt idx="5">
                        <c:v>40000</c:v>
                      </c:pt>
                      <c:pt idx="6">
                        <c:v>80000</c:v>
                      </c:pt>
                      <c:pt idx="7">
                        <c:v>100000</c:v>
                      </c:pt>
                      <c:pt idx="8">
                        <c:v>200000</c:v>
                      </c:pt>
                      <c:pt idx="9">
                        <c:v>400000</c:v>
                      </c:pt>
                      <c:pt idx="10">
                        <c:v>1000000</c:v>
                      </c:pt>
                      <c:pt idx="11">
                        <c:v>10000000</c:v>
                      </c:pt>
                      <c:pt idx="12">
                        <c:v>1000</c:v>
                      </c:pt>
                      <c:pt idx="13">
                        <c:v>1000000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PNoise!$C$14:$C$27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-130</c:v>
                      </c:pt>
                      <c:pt idx="1">
                        <c:v>-131</c:v>
                      </c:pt>
                      <c:pt idx="2">
                        <c:v>-132.19999999999999</c:v>
                      </c:pt>
                      <c:pt idx="3">
                        <c:v>-133</c:v>
                      </c:pt>
                      <c:pt idx="4">
                        <c:v>-133.9</c:v>
                      </c:pt>
                      <c:pt idx="5">
                        <c:v>-134.80000000000001</c:v>
                      </c:pt>
                      <c:pt idx="6">
                        <c:v>-135.69999999999999</c:v>
                      </c:pt>
                      <c:pt idx="7">
                        <c:v>-136</c:v>
                      </c:pt>
                      <c:pt idx="8">
                        <c:v>-138.4</c:v>
                      </c:pt>
                      <c:pt idx="9">
                        <c:v>-140.80000000000001</c:v>
                      </c:pt>
                      <c:pt idx="10">
                        <c:v>-144</c:v>
                      </c:pt>
                      <c:pt idx="11">
                        <c:v>-200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9-DF13-4036-99BD-B9AAF034E8E1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PNoise!$D$13</c15:sqref>
                        </c15:formulaRef>
                      </c:ext>
                    </c:extLst>
                    <c:strCache>
                      <c:ptCount val="1"/>
                      <c:pt idx="0">
                        <c:v>vco-open</c:v>
                      </c:pt>
                    </c:strCache>
                  </c:strRef>
                </c:tx>
                <c:spPr>
                  <a:ln w="25400" cmpd="sng">
                    <a:solidFill>
                      <a:srgbClr val="CCCCCC"/>
                    </a:solidFill>
                  </a:ln>
                </c:spPr>
                <c:marker>
                  <c:symbol val="circle"/>
                  <c:size val="5"/>
                  <c:spPr>
                    <a:solidFill>
                      <a:srgbClr val="CCCCCC"/>
                    </a:solidFill>
                    <a:ln cmpd="sng">
                      <a:solidFill>
                        <a:srgbClr val="CCCCCC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PNoise!$B$14:$B$27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100</c:v>
                      </c:pt>
                      <c:pt idx="1">
                        <c:v>1000</c:v>
                      </c:pt>
                      <c:pt idx="2">
                        <c:v>4000</c:v>
                      </c:pt>
                      <c:pt idx="3">
                        <c:v>10000</c:v>
                      </c:pt>
                      <c:pt idx="4">
                        <c:v>20000</c:v>
                      </c:pt>
                      <c:pt idx="5">
                        <c:v>40000</c:v>
                      </c:pt>
                      <c:pt idx="6">
                        <c:v>80000</c:v>
                      </c:pt>
                      <c:pt idx="7">
                        <c:v>100000</c:v>
                      </c:pt>
                      <c:pt idx="8">
                        <c:v>200000</c:v>
                      </c:pt>
                      <c:pt idx="9">
                        <c:v>400000</c:v>
                      </c:pt>
                      <c:pt idx="10">
                        <c:v>1000000</c:v>
                      </c:pt>
                      <c:pt idx="11">
                        <c:v>10000000</c:v>
                      </c:pt>
                      <c:pt idx="12">
                        <c:v>1000</c:v>
                      </c:pt>
                      <c:pt idx="13">
                        <c:v>1000000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PNoise!$D$14:$D$27</c15:sqref>
                        </c15:formulaRef>
                      </c:ext>
                    </c:extLst>
                    <c:numCache>
                      <c:formatCode>#,##0.00</c:formatCode>
                      <c:ptCount val="14"/>
                      <c:pt idx="0">
                        <c:v>-21</c:v>
                      </c:pt>
                      <c:pt idx="1">
                        <c:v>-41</c:v>
                      </c:pt>
                      <c:pt idx="2">
                        <c:v>-59</c:v>
                      </c:pt>
                      <c:pt idx="3">
                        <c:v>-71</c:v>
                      </c:pt>
                      <c:pt idx="4">
                        <c:v>-77</c:v>
                      </c:pt>
                      <c:pt idx="5">
                        <c:v>-83</c:v>
                      </c:pt>
                      <c:pt idx="6">
                        <c:v>-89</c:v>
                      </c:pt>
                      <c:pt idx="7">
                        <c:v>-91</c:v>
                      </c:pt>
                      <c:pt idx="8">
                        <c:v>-97</c:v>
                      </c:pt>
                      <c:pt idx="9">
                        <c:v>-103</c:v>
                      </c:pt>
                      <c:pt idx="10">
                        <c:v>-111</c:v>
                      </c:pt>
                      <c:pt idx="11">
                        <c:v>-115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F13-4036-99BD-B9AAF034E8E1}"/>
                  </c:ext>
                </c:extLst>
              </c15:ser>
            </c15:filteredScatterSeries>
            <c15:filteredScatte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PNoise!$L$13</c15:sqref>
                        </c15:formulaRef>
                      </c:ext>
                    </c:extLst>
                    <c:strCache>
                      <c:ptCount val="1"/>
                      <c:pt idx="0">
                        <c:v>opamp</c:v>
                      </c:pt>
                    </c:strCache>
                  </c:strRef>
                </c:tx>
                <c:spPr>
                  <a:ln w="25400" cmpd="sng">
                    <a:solidFill>
                      <a:srgbClr val="C27BA0"/>
                    </a:solidFill>
                  </a:ln>
                </c:spPr>
                <c:marker>
                  <c:symbol val="circle"/>
                  <c:size val="2"/>
                  <c:spPr>
                    <a:solidFill>
                      <a:srgbClr val="C27BA0"/>
                    </a:solidFill>
                    <a:ln cmpd="sng">
                      <a:solidFill>
                        <a:srgbClr val="C27BA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PNoise!$B$14:$B$27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100</c:v>
                      </c:pt>
                      <c:pt idx="1">
                        <c:v>1000</c:v>
                      </c:pt>
                      <c:pt idx="2">
                        <c:v>4000</c:v>
                      </c:pt>
                      <c:pt idx="3">
                        <c:v>10000</c:v>
                      </c:pt>
                      <c:pt idx="4">
                        <c:v>20000</c:v>
                      </c:pt>
                      <c:pt idx="5">
                        <c:v>40000</c:v>
                      </c:pt>
                      <c:pt idx="6">
                        <c:v>80000</c:v>
                      </c:pt>
                      <c:pt idx="7">
                        <c:v>100000</c:v>
                      </c:pt>
                      <c:pt idx="8">
                        <c:v>200000</c:v>
                      </c:pt>
                      <c:pt idx="9">
                        <c:v>400000</c:v>
                      </c:pt>
                      <c:pt idx="10">
                        <c:v>1000000</c:v>
                      </c:pt>
                      <c:pt idx="11">
                        <c:v>10000000</c:v>
                      </c:pt>
                      <c:pt idx="12">
                        <c:v>1000</c:v>
                      </c:pt>
                      <c:pt idx="13">
                        <c:v>1000000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PNoise!$L$14:$L$27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-363.6412754228889</c:v>
                      </c:pt>
                      <c:pt idx="1">
                        <c:v>-343.65090225561181</c:v>
                      </c:pt>
                      <c:pt idx="2">
                        <c:v>-331.75404197212646</c:v>
                      </c:pt>
                      <c:pt idx="3">
                        <c:v>-324.55554158033738</c:v>
                      </c:pt>
                      <c:pt idx="4">
                        <c:v>-320.76577891722474</c:v>
                      </c:pt>
                      <c:pt idx="5">
                        <c:v>-320.29215944336926</c:v>
                      </c:pt>
                      <c:pt idx="6">
                        <c:v>-324.02133807377959</c:v>
                      </c:pt>
                      <c:pt idx="7">
                        <c:v>-326.05399954185856</c:v>
                      </c:pt>
                      <c:pt idx="8">
                        <c:v>-334.58723997766674</c:v>
                      </c:pt>
                      <c:pt idx="9">
                        <c:v>-344.89158917985395</c:v>
                      </c:pt>
                      <c:pt idx="10">
                        <c:v>-356.59038573315627</c:v>
                      </c:pt>
                      <c:pt idx="11">
                        <c:v>-389.50841134061278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F13-4036-99BD-B9AAF034E8E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PNoise!$M$13</c15:sqref>
                        </c15:formulaRef>
                      </c:ext>
                    </c:extLst>
                    <c:strCache>
                      <c:ptCount val="1"/>
                      <c:pt idx="0">
                        <c:v>overall</c:v>
                      </c:pt>
                    </c:strCache>
                  </c:strRef>
                </c:tx>
                <c:spPr>
                  <a:ln w="12700" cmpd="sng">
                    <a:solidFill>
                      <a:srgbClr val="FF0000"/>
                    </a:solidFill>
                  </a:ln>
                </c:spPr>
                <c:marker>
                  <c:symbol val="square"/>
                  <c:size val="5"/>
                  <c:spPr>
                    <a:solidFill>
                      <a:srgbClr val="FF0000"/>
                    </a:solidFill>
                    <a:ln>
                      <a:solidFill>
                        <a:srgbClr val="FF000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PNoise!$B$14:$B$27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100</c:v>
                      </c:pt>
                      <c:pt idx="1">
                        <c:v>1000</c:v>
                      </c:pt>
                      <c:pt idx="2">
                        <c:v>4000</c:v>
                      </c:pt>
                      <c:pt idx="3">
                        <c:v>10000</c:v>
                      </c:pt>
                      <c:pt idx="4">
                        <c:v>20000</c:v>
                      </c:pt>
                      <c:pt idx="5">
                        <c:v>40000</c:v>
                      </c:pt>
                      <c:pt idx="6">
                        <c:v>80000</c:v>
                      </c:pt>
                      <c:pt idx="7">
                        <c:v>100000</c:v>
                      </c:pt>
                      <c:pt idx="8">
                        <c:v>200000</c:v>
                      </c:pt>
                      <c:pt idx="9">
                        <c:v>400000</c:v>
                      </c:pt>
                      <c:pt idx="10">
                        <c:v>1000000</c:v>
                      </c:pt>
                      <c:pt idx="11">
                        <c:v>10000000</c:v>
                      </c:pt>
                      <c:pt idx="12">
                        <c:v>1000</c:v>
                      </c:pt>
                      <c:pt idx="13">
                        <c:v>1000000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PNoise!$M$14:$M$27</c15:sqref>
                        </c15:formulaRef>
                      </c:ext>
                    </c:extLst>
                    <c:numCache>
                      <c:formatCode>#,##0.0</c:formatCode>
                      <c:ptCount val="14"/>
                      <c:pt idx="0">
                        <c:v>-68.318906699037598</c:v>
                      </c:pt>
                      <c:pt idx="1">
                        <c:v>-69.022453546290194</c:v>
                      </c:pt>
                      <c:pt idx="2">
                        <c:v>-68.909862124531074</c:v>
                      </c:pt>
                      <c:pt idx="3">
                        <c:v>-68.238044661779341</c:v>
                      </c:pt>
                      <c:pt idx="4">
                        <c:v>-67.392637836893613</c:v>
                      </c:pt>
                      <c:pt idx="5">
                        <c:v>-67.741442603238639</c:v>
                      </c:pt>
                      <c:pt idx="6">
                        <c:v>-68.195389222227021</c:v>
                      </c:pt>
                      <c:pt idx="7">
                        <c:v>-67.580223656441746</c:v>
                      </c:pt>
                      <c:pt idx="8">
                        <c:v>-65.516092187623343</c:v>
                      </c:pt>
                      <c:pt idx="9">
                        <c:v>-67.516526678817257</c:v>
                      </c:pt>
                      <c:pt idx="10">
                        <c:v>-106.31930942017914</c:v>
                      </c:pt>
                      <c:pt idx="11">
                        <c:v>-114.99916333566119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F13-4036-99BD-B9AAF034E8E1}"/>
                  </c:ext>
                </c:extLst>
              </c15:ser>
            </c15:filteredScatterSeries>
          </c:ext>
        </c:extLst>
      </c:scatterChart>
      <c:valAx>
        <c:axId val="117067368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minorGridlines/>
        <c:title>
          <c:tx>
            <c:rich>
              <a:bodyPr/>
              <a:lstStyle/>
              <a:p>
                <a:pPr>
                  <a:defRPr sz="900" i="1">
                    <a:solidFill>
                      <a:srgbClr val="666666"/>
                    </a:solidFill>
                    <a:latin typeface="+mn-lt"/>
                  </a:defRPr>
                </a:pPr>
                <a:r>
                  <a:rPr lang="en-US" sz="900">
                    <a:latin typeface="+mn-lt"/>
                  </a:rPr>
                  <a:t>offset freq (KHz)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rgbClr val="666666"/>
                </a:solidFill>
                <a:latin typeface="+mn-lt"/>
              </a:defRPr>
            </a:pPr>
            <a:endParaRPr lang="en-US"/>
          </a:p>
        </c:txPr>
        <c:crossAx val="117067760"/>
        <c:crossesAt val="-150"/>
        <c:crossBetween val="midCat"/>
        <c:dispUnits>
          <c:builtInUnit val="thousands"/>
        </c:dispUnits>
      </c:valAx>
      <c:valAx>
        <c:axId val="117067760"/>
        <c:scaling>
          <c:orientation val="minMax"/>
          <c:max val="-50"/>
          <c:min val="-150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900" b="0">
                    <a:latin typeface="+mn-lt"/>
                  </a:defRPr>
                </a:pPr>
                <a:r>
                  <a:rPr lang="en-US" sz="900" b="0">
                    <a:latin typeface="+mn-lt"/>
                  </a:rPr>
                  <a:t>dBc/Hz</a:t>
                </a:r>
              </a:p>
            </c:rich>
          </c:tx>
          <c:layout>
            <c:manualLayout>
              <c:xMode val="edge"/>
              <c:yMode val="edge"/>
              <c:x val="0"/>
              <c:y val="0.38830725558446827"/>
            </c:manualLayout>
          </c:layout>
          <c:overlay val="0"/>
        </c:title>
        <c:numFmt formatCode="#,##0.00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en-US"/>
          </a:p>
        </c:txPr>
        <c:crossAx val="117067368"/>
        <c:crossesAt val="100"/>
        <c:crossBetween val="midCat"/>
      </c:valAx>
      <c:spPr>
        <a:noFill/>
      </c:spPr>
    </c:plotArea>
    <c:legend>
      <c:legendPos val="r"/>
      <c:layout>
        <c:manualLayout>
          <c:xMode val="edge"/>
          <c:yMode val="edge"/>
          <c:x val="0.78715546840627526"/>
          <c:y val="3.5668768495571518E-2"/>
          <c:w val="0.16318557347671664"/>
          <c:h val="0.45171502964519872"/>
        </c:manualLayout>
      </c:layout>
      <c:overlay val="0"/>
      <c:spPr>
        <a:solidFill>
          <a:schemeClr val="bg1"/>
        </a:solidFill>
        <a:ln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800">
              <a:solidFill>
                <a:srgbClr val="666666"/>
              </a:solidFill>
              <a:latin typeface="+mn-lt"/>
            </a:defRPr>
          </a:pPr>
          <a:endParaRPr lang="en-US"/>
        </a:p>
      </c:txPr>
    </c:legend>
    <c:plotVisOnly val="1"/>
    <c:dispBlanksAs val="span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>
                <a:solidFill>
                  <a:srgbClr val="000000"/>
                </a:solidFill>
              </a:defRPr>
            </a:pPr>
            <a:r>
              <a:rPr lang="en-US"/>
              <a:t>HP/LP</a:t>
            </a:r>
          </a:p>
        </c:rich>
      </c:tx>
      <c:layout>
        <c:manualLayout>
          <c:xMode val="edge"/>
          <c:yMode val="edge"/>
          <c:x val="0.30504520268299795"/>
          <c:y val="2.083333333333333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4097105786304994E-2"/>
          <c:y val="0.10846784776902889"/>
          <c:w val="0.82604664982914866"/>
          <c:h val="0.77488312007874016"/>
        </c:manualLayout>
      </c:layout>
      <c:scatterChart>
        <c:scatterStyle val="smoothMarker"/>
        <c:varyColors val="1"/>
        <c:ser>
          <c:idx val="2"/>
          <c:order val="0"/>
          <c:tx>
            <c:strRef>
              <c:f>'PLL filter cal'!$E$24</c:f>
              <c:strCache>
                <c:ptCount val="1"/>
                <c:pt idx="0">
                  <c:v>Lp</c:v>
                </c:pt>
              </c:strCache>
            </c:strRef>
          </c:tx>
          <c:spPr>
            <a:ln w="25400" cmpd="sng">
              <a:solidFill>
                <a:srgbClr val="DC3912"/>
              </a:solidFill>
            </a:ln>
          </c:spPr>
          <c:marker>
            <c:symbol val="none"/>
          </c:marker>
          <c:xVal>
            <c:numRef>
              <c:f>'PLL filter cal'!$D$25:$D$36</c:f>
              <c:numCache>
                <c:formatCode>#,##0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xVal>
          <c:yVal>
            <c:numRef>
              <c:f>'PLL filter cal'!$E$25:$E$36</c:f>
              <c:numCache>
                <c:formatCode>General</c:formatCode>
                <c:ptCount val="12"/>
                <c:pt idx="0">
                  <c:v>1.2006231609732659E-4</c:v>
                </c:pt>
                <c:pt idx="1">
                  <c:v>1.1959123885022965E-2</c:v>
                </c:pt>
                <c:pt idx="2">
                  <c:v>0.18055286769558396</c:v>
                </c:pt>
                <c:pt idx="3">
                  <c:v>0.84930715918725597</c:v>
                </c:pt>
                <c:pt idx="4">
                  <c:v>1.6389911708316707</c:v>
                </c:pt>
                <c:pt idx="5">
                  <c:v>0.90622719499812798</c:v>
                </c:pt>
                <c:pt idx="6">
                  <c:v>-3.0449466333143866</c:v>
                </c:pt>
                <c:pt idx="7">
                  <c:v>-5.0252408328323188</c:v>
                </c:pt>
                <c:pt idx="8">
                  <c:v>-13.152618576829759</c:v>
                </c:pt>
                <c:pt idx="9">
                  <c:v>-23.606249982470445</c:v>
                </c:pt>
                <c:pt idx="10">
                  <c:v>-39.080987895177387</c:v>
                </c:pt>
                <c:pt idx="11">
                  <c:v>-84.889987070610985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9C-4690-A8FD-BFD99B2146F9}"/>
            </c:ext>
          </c:extLst>
        </c:ser>
        <c:ser>
          <c:idx val="3"/>
          <c:order val="1"/>
          <c:tx>
            <c:strRef>
              <c:f>'PLL filter cal'!$F$24</c:f>
              <c:strCache>
                <c:ptCount val="1"/>
                <c:pt idx="0">
                  <c:v>HP</c:v>
                </c:pt>
              </c:strCache>
            </c:strRef>
          </c:tx>
          <c:marker>
            <c:symbol val="none"/>
          </c:marker>
          <c:xVal>
            <c:numRef>
              <c:f>'PLL filter cal'!$D$25:$D$36</c:f>
              <c:numCache>
                <c:formatCode>#,##0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xVal>
          <c:yVal>
            <c:numRef>
              <c:f>'PLL filter cal'!$F$25:$F$36</c:f>
              <c:numCache>
                <c:formatCode>General</c:formatCode>
                <c:ptCount val="12"/>
                <c:pt idx="0">
                  <c:v>-97.187902366595438</c:v>
                </c:pt>
                <c:pt idx="1">
                  <c:v>-57.197405623382181</c:v>
                </c:pt>
                <c:pt idx="2">
                  <c:v>-33.257473533950694</c:v>
                </c:pt>
                <c:pt idx="3">
                  <c:v>-18.089703154398812</c:v>
                </c:pt>
                <c:pt idx="4">
                  <c:v>-8.2421311814909046</c:v>
                </c:pt>
                <c:pt idx="5">
                  <c:v>-1.6018678808400824</c:v>
                </c:pt>
                <c:pt idx="6">
                  <c:v>1.2326591096212942</c:v>
                </c:pt>
                <c:pt idx="7">
                  <c:v>1.5074585008776842</c:v>
                </c:pt>
                <c:pt idx="8">
                  <c:v>1.2300678520962522</c:v>
                </c:pt>
                <c:pt idx="9">
                  <c:v>0.50895422717765548</c:v>
                </c:pt>
                <c:pt idx="10">
                  <c:v>9.5965867115069103E-2</c:v>
                </c:pt>
                <c:pt idx="11">
                  <c:v>2.5536324122834859E-4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9C-4690-A8FD-BFD99B214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068544"/>
        <c:axId val="117068936"/>
      </c:scatterChart>
      <c:valAx>
        <c:axId val="117068544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minorGridlines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>
                <a:solidFill>
                  <a:srgbClr val="222222"/>
                </a:solidFill>
              </a:defRPr>
            </a:pPr>
            <a:endParaRPr lang="en-US"/>
          </a:p>
        </c:txPr>
        <c:crossAx val="117068936"/>
        <c:crossesAt val="-50"/>
        <c:crossBetween val="midCat"/>
        <c:dispUnits>
          <c:builtInUnit val="thousands"/>
          <c:dispUnitsLbl/>
        </c:dispUnits>
      </c:valAx>
      <c:valAx>
        <c:axId val="117068936"/>
        <c:scaling>
          <c:orientation val="minMax"/>
          <c:max val="10"/>
          <c:min val="-1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dB</a:t>
                </a:r>
              </a:p>
            </c:rich>
          </c:tx>
          <c:layout>
            <c:manualLayout>
              <c:xMode val="edge"/>
              <c:yMode val="edge"/>
              <c:x val="0"/>
              <c:y val="0.3354467834377845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17068544"/>
        <c:crosses val="autoZero"/>
        <c:crossBetween val="midCat"/>
        <c:majorUnit val="10"/>
      </c:valAx>
    </c:plotArea>
    <c:legend>
      <c:legendPos val="r"/>
      <c:layout>
        <c:manualLayout>
          <c:xMode val="edge"/>
          <c:yMode val="edge"/>
          <c:x val="0.69761713748045651"/>
          <c:y val="0.10803149606299214"/>
          <c:w val="0.21969596440038899"/>
          <c:h val="0.18836368110236221"/>
        </c:manualLayout>
      </c:layout>
      <c:overlay val="0"/>
      <c:spPr>
        <a:solidFill>
          <a:schemeClr val="bg1"/>
        </a:solidFill>
      </c:sp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>
                <a:solidFill>
                  <a:srgbClr val="000000"/>
                </a:solidFill>
              </a:defRPr>
            </a:pPr>
            <a:r>
              <a:rPr lang="en-US"/>
              <a:t>Open loop Gain/Phase Margin</a:t>
            </a:r>
          </a:p>
        </c:rich>
      </c:tx>
      <c:layout>
        <c:manualLayout>
          <c:xMode val="edge"/>
          <c:yMode val="edge"/>
          <c:x val="0.18383306883652781"/>
          <c:y val="1.6943575832925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689335620756903"/>
          <c:y val="0.10846784776902889"/>
          <c:w val="0.77213830114811066"/>
          <c:h val="0.77488312007874016"/>
        </c:manualLayout>
      </c:layout>
      <c:scatterChart>
        <c:scatterStyle val="smoothMarker"/>
        <c:varyColors val="1"/>
        <c:ser>
          <c:idx val="0"/>
          <c:order val="0"/>
          <c:tx>
            <c:strRef>
              <c:f>'PLL filter cal'!$H$24</c:f>
              <c:strCache>
                <c:ptCount val="1"/>
                <c:pt idx="0">
                  <c:v>OLGain</c:v>
                </c:pt>
              </c:strCache>
            </c:strRef>
          </c:tx>
          <c:spPr>
            <a:ln w="25400" cmpd="sng">
              <a:solidFill>
                <a:srgbClr val="4684EE"/>
              </a:solidFill>
            </a:ln>
          </c:spPr>
          <c:marker>
            <c:symbol val="none"/>
          </c:marker>
          <c:xVal>
            <c:numRef>
              <c:f>'PLL filter cal'!$G$25:$G$36</c:f>
              <c:numCache>
                <c:formatCode>#,##0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xVal>
          <c:yVal>
            <c:numRef>
              <c:f>'PLL filter cal'!$H$25:$H$36</c:f>
              <c:numCache>
                <c:formatCode>General</c:formatCode>
                <c:ptCount val="12"/>
                <c:pt idx="0">
                  <c:v>97.188022428911523</c:v>
                </c:pt>
                <c:pt idx="1">
                  <c:v>57.209364747267202</c:v>
                </c:pt>
                <c:pt idx="2">
                  <c:v>33.438026401646276</c:v>
                </c:pt>
                <c:pt idx="3">
                  <c:v>18.939010313586063</c:v>
                </c:pt>
                <c:pt idx="4">
                  <c:v>9.8811223523225742</c:v>
                </c:pt>
                <c:pt idx="5">
                  <c:v>2.5080950758382112</c:v>
                </c:pt>
                <c:pt idx="6">
                  <c:v>-4.2776057429356804</c:v>
                </c:pt>
                <c:pt idx="7">
                  <c:v>-6.532699333710001</c:v>
                </c:pt>
                <c:pt idx="8">
                  <c:v>-14.382686428926011</c:v>
                </c:pt>
                <c:pt idx="9">
                  <c:v>-24.115204209648098</c:v>
                </c:pt>
                <c:pt idx="10">
                  <c:v>-39.176953762292463</c:v>
                </c:pt>
                <c:pt idx="11">
                  <c:v>-84.890242433852194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9A4-4B01-BD04-A7FB0DB92841}"/>
            </c:ext>
          </c:extLst>
        </c:ser>
        <c:ser>
          <c:idx val="1"/>
          <c:order val="1"/>
          <c:tx>
            <c:strRef>
              <c:f>'PLL filter cal'!$I$24</c:f>
              <c:strCache>
                <c:ptCount val="1"/>
                <c:pt idx="0">
                  <c:v>OLPhase</c:v>
                </c:pt>
              </c:strCache>
            </c:strRef>
          </c:tx>
          <c:spPr>
            <a:ln w="25400" cmpd="sng">
              <a:solidFill>
                <a:srgbClr val="DC3912"/>
              </a:solidFill>
            </a:ln>
          </c:spPr>
          <c:marker>
            <c:symbol val="none"/>
          </c:marker>
          <c:xVal>
            <c:numRef>
              <c:f>'PLL filter cal'!$G$25:$G$36</c:f>
              <c:numCache>
                <c:formatCode>#,##0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xVal>
          <c:yVal>
            <c:numRef>
              <c:f>'PLL filter cal'!$I$25:$I$36</c:f>
              <c:numCache>
                <c:formatCode>General</c:formatCode>
                <c:ptCount val="12"/>
                <c:pt idx="0">
                  <c:v>0.37837112097471959</c:v>
                </c:pt>
                <c:pt idx="1">
                  <c:v>3.7770552437446838</c:v>
                </c:pt>
                <c:pt idx="2">
                  <c:v>14.72312087996724</c:v>
                </c:pt>
                <c:pt idx="3">
                  <c:v>32.594392111471734</c:v>
                </c:pt>
                <c:pt idx="4">
                  <c:v>49.415295352360829</c:v>
                </c:pt>
                <c:pt idx="5">
                  <c:v>59.980896896719798</c:v>
                </c:pt>
                <c:pt idx="6">
                  <c:v>59.487074841335414</c:v>
                </c:pt>
                <c:pt idx="7">
                  <c:v>56.854572894845916</c:v>
                </c:pt>
                <c:pt idx="8">
                  <c:v>42.148388873862189</c:v>
                </c:pt>
                <c:pt idx="9">
                  <c:v>23.196755822971937</c:v>
                </c:pt>
                <c:pt idx="10">
                  <c:v>1.9206397589551329</c:v>
                </c:pt>
                <c:pt idx="11">
                  <c:v>-58.918374611201273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9A4-4B01-BD04-A7FB0DB92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069720"/>
        <c:axId val="117070112"/>
      </c:scatterChart>
      <c:valAx>
        <c:axId val="117069720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minorGridlines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>
                <a:solidFill>
                  <a:srgbClr val="222222"/>
                </a:solidFill>
              </a:defRPr>
            </a:pPr>
            <a:endParaRPr lang="en-US"/>
          </a:p>
        </c:txPr>
        <c:crossAx val="117070112"/>
        <c:crossesAt val="-50"/>
        <c:crossBetween val="midCat"/>
        <c:dispUnits>
          <c:builtInUnit val="thousands"/>
          <c:dispUnitsLbl/>
        </c:dispUnits>
      </c:valAx>
      <c:valAx>
        <c:axId val="117070112"/>
        <c:scaling>
          <c:orientation val="minMax"/>
          <c:max val="70"/>
          <c:min val="-5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dB/phase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17069720"/>
        <c:crosses val="autoZero"/>
        <c:crossBetween val="midCat"/>
        <c:majorUnit val="10"/>
      </c:valAx>
    </c:plotArea>
    <c:legend>
      <c:legendPos val="r"/>
      <c:layout>
        <c:manualLayout>
          <c:xMode val="edge"/>
          <c:yMode val="edge"/>
          <c:x val="0.62232587805589257"/>
          <c:y val="0.10803149606299213"/>
          <c:w val="0.26149310476245641"/>
          <c:h val="0.18836368110236221"/>
        </c:manualLayout>
      </c:layout>
      <c:overlay val="0"/>
      <c:spPr>
        <a:solidFill>
          <a:schemeClr val="bg1"/>
        </a:solidFill>
      </c:sp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/>
            </a:pPr>
            <a:r>
              <a:rPr lang="en-US"/>
              <a:t>Chart title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'ref spur calc 2'!$L$24</c:f>
              <c:strCache>
                <c:ptCount val="1"/>
                <c:pt idx="0">
                  <c:v>Fcomp1</c:v>
                </c:pt>
              </c:strCache>
            </c:strRef>
          </c:tx>
          <c:spPr>
            <a:solidFill>
              <a:srgbClr val="3366CC"/>
            </a:solidFill>
          </c:spPr>
          <c:invertIfNegative val="1"/>
          <c:cat>
            <c:strRef>
              <c:f>'ref spur calc 2'!$K$25:$K$57</c:f>
              <c:strCache>
                <c:ptCount val="33"/>
                <c:pt idx="0">
                  <c:v>3062.4</c:v>
                </c:pt>
                <c:pt idx="1">
                  <c:v>3081.6</c:v>
                </c:pt>
                <c:pt idx="2">
                  <c:v>3185.28</c:v>
                </c:pt>
                <c:pt idx="3">
                  <c:v>3204.48</c:v>
                </c:pt>
                <c:pt idx="4">
                  <c:v>3308.16</c:v>
                </c:pt>
                <c:pt idx="15">
                  <c:v>3048.76538</c:v>
                </c:pt>
                <c:pt idx="16">
                  <c:v>3067.927953</c:v>
                </c:pt>
                <c:pt idx="17">
                  <c:v>3157.992047</c:v>
                </c:pt>
                <c:pt idx="18">
                  <c:v>3177.15462</c:v>
                </c:pt>
                <c:pt idx="19">
                  <c:v>3267.218713</c:v>
                </c:pt>
                <c:pt idx="31">
                  <c:v>3030</c:v>
                </c:pt>
                <c:pt idx="32">
                  <c:v>3250</c:v>
                </c:pt>
              </c:strCache>
            </c:strRef>
          </c:cat>
          <c:val>
            <c:numRef>
              <c:f>'ref spur calc 2'!$L$25:$L$57</c:f>
              <c:numCache>
                <c:formatCode>General</c:formatCode>
                <c:ptCount val="33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0.7</c:v>
                </c:pt>
                <c:pt idx="6">
                  <c:v>0.7</c:v>
                </c:pt>
                <c:pt idx="7">
                  <c:v>0.7</c:v>
                </c:pt>
                <c:pt idx="8">
                  <c:v>0.7</c:v>
                </c:pt>
                <c:pt idx="9">
                  <c:v>0.7</c:v>
                </c:pt>
                <c:pt idx="10">
                  <c:v>0.7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E6F8-4C82-8CFA-E358C41D564C}"/>
            </c:ext>
          </c:extLst>
        </c:ser>
        <c:ser>
          <c:idx val="1"/>
          <c:order val="1"/>
          <c:tx>
            <c:strRef>
              <c:f>'ref spur calc 2'!$M$24</c:f>
              <c:strCache>
                <c:ptCount val="1"/>
                <c:pt idx="0">
                  <c:v>Fcomp2</c:v>
                </c:pt>
              </c:strCache>
            </c:strRef>
          </c:tx>
          <c:spPr>
            <a:solidFill>
              <a:srgbClr val="DC3912"/>
            </a:solidFill>
          </c:spPr>
          <c:invertIfNegative val="1"/>
          <c:cat>
            <c:strRef>
              <c:f>'ref spur calc 2'!$K$25:$K$57</c:f>
              <c:strCache>
                <c:ptCount val="33"/>
                <c:pt idx="0">
                  <c:v>3062.4</c:v>
                </c:pt>
                <c:pt idx="1">
                  <c:v>3081.6</c:v>
                </c:pt>
                <c:pt idx="2">
                  <c:v>3185.28</c:v>
                </c:pt>
                <c:pt idx="3">
                  <c:v>3204.48</c:v>
                </c:pt>
                <c:pt idx="4">
                  <c:v>3308.16</c:v>
                </c:pt>
                <c:pt idx="15">
                  <c:v>3048.76538</c:v>
                </c:pt>
                <c:pt idx="16">
                  <c:v>3067.927953</c:v>
                </c:pt>
                <c:pt idx="17">
                  <c:v>3157.992047</c:v>
                </c:pt>
                <c:pt idx="18">
                  <c:v>3177.15462</c:v>
                </c:pt>
                <c:pt idx="19">
                  <c:v>3267.218713</c:v>
                </c:pt>
                <c:pt idx="31">
                  <c:v>3030</c:v>
                </c:pt>
                <c:pt idx="32">
                  <c:v>3250</c:v>
                </c:pt>
              </c:strCache>
            </c:strRef>
          </c:cat>
          <c:val>
            <c:numRef>
              <c:f>'ref spur calc 2'!$M$25:$M$57</c:f>
              <c:numCache>
                <c:formatCode>General</c:formatCode>
                <c:ptCount val="33"/>
                <c:pt idx="15">
                  <c:v>0.9</c:v>
                </c:pt>
                <c:pt idx="16">
                  <c:v>0.9</c:v>
                </c:pt>
                <c:pt idx="17">
                  <c:v>0.9</c:v>
                </c:pt>
                <c:pt idx="18">
                  <c:v>0.9</c:v>
                </c:pt>
                <c:pt idx="19">
                  <c:v>0.9</c:v>
                </c:pt>
                <c:pt idx="20">
                  <c:v>0.9</c:v>
                </c:pt>
                <c:pt idx="21">
                  <c:v>0.9</c:v>
                </c:pt>
                <c:pt idx="22">
                  <c:v>0.9</c:v>
                </c:pt>
                <c:pt idx="23">
                  <c:v>0.9</c:v>
                </c:pt>
                <c:pt idx="24">
                  <c:v>0.9</c:v>
                </c:pt>
                <c:pt idx="25">
                  <c:v>0.9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E6F8-4C82-8CFA-E358C41D564C}"/>
            </c:ext>
          </c:extLst>
        </c:ser>
        <c:ser>
          <c:idx val="2"/>
          <c:order val="2"/>
          <c:tx>
            <c:strRef>
              <c:f>'ref spur calc 2'!$N$24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000000"/>
            </a:solidFill>
          </c:spPr>
          <c:invertIfNegative val="1"/>
          <c:cat>
            <c:strRef>
              <c:f>'ref spur calc 2'!$K$25:$K$57</c:f>
              <c:strCache>
                <c:ptCount val="33"/>
                <c:pt idx="0">
                  <c:v>3062.4</c:v>
                </c:pt>
                <c:pt idx="1">
                  <c:v>3081.6</c:v>
                </c:pt>
                <c:pt idx="2">
                  <c:v>3185.28</c:v>
                </c:pt>
                <c:pt idx="3">
                  <c:v>3204.48</c:v>
                </c:pt>
                <c:pt idx="4">
                  <c:v>3308.16</c:v>
                </c:pt>
                <c:pt idx="15">
                  <c:v>3048.76538</c:v>
                </c:pt>
                <c:pt idx="16">
                  <c:v>3067.927953</c:v>
                </c:pt>
                <c:pt idx="17">
                  <c:v>3157.992047</c:v>
                </c:pt>
                <c:pt idx="18">
                  <c:v>3177.15462</c:v>
                </c:pt>
                <c:pt idx="19">
                  <c:v>3267.218713</c:v>
                </c:pt>
                <c:pt idx="31">
                  <c:v>3030</c:v>
                </c:pt>
                <c:pt idx="32">
                  <c:v>3250</c:v>
                </c:pt>
              </c:strCache>
            </c:strRef>
          </c:cat>
          <c:val>
            <c:numRef>
              <c:f>'ref spur calc 2'!$N$25:$N$57</c:f>
              <c:numCache>
                <c:formatCode>General</c:formatCode>
                <c:ptCount val="33"/>
                <c:pt idx="31">
                  <c:v>1</c:v>
                </c:pt>
                <c:pt idx="32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E6F8-4C82-8CFA-E358C41D5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070896"/>
        <c:axId val="117071288"/>
      </c:barChart>
      <c:catAx>
        <c:axId val="1170708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117071288"/>
        <c:crosses val="autoZero"/>
        <c:auto val="1"/>
        <c:lblAlgn val="ctr"/>
        <c:lblOffset val="100"/>
        <c:noMultiLvlLbl val="1"/>
      </c:catAx>
      <c:valAx>
        <c:axId val="11707128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117070896"/>
        <c:crosses val="autoZero"/>
        <c:crossBetween val="between"/>
      </c:valAx>
    </c:plotArea>
    <c:legend>
      <c:legendPos val="r"/>
      <c:overlay val="0"/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</a:defRPr>
            </a:pPr>
            <a:r>
              <a:rPr lang="en-US"/>
              <a:t>Open loop VCO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Compare!$B$20</c:f>
              <c:strCache>
                <c:ptCount val="1"/>
                <c:pt idx="0">
                  <c:v>A</c:v>
                </c:pt>
              </c:strCache>
            </c:strRef>
          </c:tx>
          <c:spPr>
            <a:ln w="25400" cmpd="sng">
              <a:solidFill>
                <a:srgbClr val="3366CC"/>
              </a:solidFill>
            </a:ln>
          </c:spPr>
          <c:marker>
            <c:symbol val="circle"/>
            <c:size val="2"/>
            <c:spPr>
              <a:solidFill>
                <a:srgbClr val="3366CC"/>
              </a:solidFill>
              <a:ln cmpd="sng">
                <a:solidFill>
                  <a:srgbClr val="3366CC"/>
                </a:solidFill>
              </a:ln>
            </c:spPr>
          </c:marker>
          <c:cat>
            <c:numRef>
              <c:f>Compare!$A$21:$A$32</c:f>
              <c:numCache>
                <c:formatCode>General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cat>
          <c:val>
            <c:numRef>
              <c:f>Compare!$B$21:$B$32</c:f>
              <c:numCache>
                <c:formatCode>#,##0.00</c:formatCode>
                <c:ptCount val="12"/>
                <c:pt idx="0">
                  <c:v>-27.5465103091861</c:v>
                </c:pt>
                <c:pt idx="1">
                  <c:v>-47.546510309186097</c:v>
                </c:pt>
                <c:pt idx="2">
                  <c:v>-67.173519333087697</c:v>
                </c:pt>
                <c:pt idx="3">
                  <c:v>-80.258192015688806</c:v>
                </c:pt>
                <c:pt idx="4">
                  <c:v>-88.777519799699206</c:v>
                </c:pt>
                <c:pt idx="5">
                  <c:v>-97.296847583709607</c:v>
                </c:pt>
                <c:pt idx="6">
                  <c:v>-105.81617536772001</c:v>
                </c:pt>
                <c:pt idx="7">
                  <c:v>-108.655951295723</c:v>
                </c:pt>
                <c:pt idx="8">
                  <c:v>-115.915564562493</c:v>
                </c:pt>
                <c:pt idx="9">
                  <c:v>-123.175177829262</c:v>
                </c:pt>
                <c:pt idx="10">
                  <c:v>-132.85466218495401</c:v>
                </c:pt>
                <c:pt idx="11">
                  <c:v>-152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E81-462C-BD00-F19745BB0340}"/>
            </c:ext>
          </c:extLst>
        </c:ser>
        <c:ser>
          <c:idx val="1"/>
          <c:order val="1"/>
          <c:tx>
            <c:strRef>
              <c:f>Compare!$C$20</c:f>
              <c:strCache>
                <c:ptCount val="1"/>
                <c:pt idx="0">
                  <c:v>B</c:v>
                </c:pt>
              </c:strCache>
            </c:strRef>
          </c:tx>
          <c:spPr>
            <a:ln w="25400" cmpd="sng">
              <a:solidFill>
                <a:srgbClr val="DC3912"/>
              </a:solidFill>
            </a:ln>
          </c:spPr>
          <c:marker>
            <c:symbol val="circle"/>
            <c:size val="2"/>
            <c:spPr>
              <a:solidFill>
                <a:srgbClr val="DC3912"/>
              </a:solidFill>
              <a:ln cmpd="sng">
                <a:solidFill>
                  <a:srgbClr val="DC3912"/>
                </a:solidFill>
              </a:ln>
            </c:spPr>
          </c:marker>
          <c:cat>
            <c:numRef>
              <c:f>Compare!$A$21:$A$32</c:f>
              <c:numCache>
                <c:formatCode>General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cat>
          <c:val>
            <c:numRef>
              <c:f>Compare!$C$21:$C$32</c:f>
              <c:numCache>
                <c:formatCode>#,##0.00</c:formatCode>
                <c:ptCount val="12"/>
                <c:pt idx="0">
                  <c:v>-51.9999872491234</c:v>
                </c:pt>
                <c:pt idx="1">
                  <c:v>-71.999987249123393</c:v>
                </c:pt>
                <c:pt idx="2">
                  <c:v>-85.199987249123396</c:v>
                </c:pt>
                <c:pt idx="3">
                  <c:v>-93.999987249123393</c:v>
                </c:pt>
                <c:pt idx="4">
                  <c:v>-100.599987249123</c:v>
                </c:pt>
                <c:pt idx="5">
                  <c:v>-107.199987249123</c:v>
                </c:pt>
                <c:pt idx="6">
                  <c:v>-113.79998724912301</c:v>
                </c:pt>
                <c:pt idx="7">
                  <c:v>-115.999987249123</c:v>
                </c:pt>
                <c:pt idx="8">
                  <c:v>-122.599987249123</c:v>
                </c:pt>
                <c:pt idx="9">
                  <c:v>-129.19998724912301</c:v>
                </c:pt>
                <c:pt idx="10">
                  <c:v>-137.999987249123</c:v>
                </c:pt>
                <c:pt idx="11">
                  <c:v>-152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E81-462C-BD00-F19745BB0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073640"/>
        <c:axId val="117074032"/>
      </c:lineChart>
      <c:catAx>
        <c:axId val="117073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/>
                </a:pPr>
                <a:r>
                  <a:rPr lang="en-US"/>
                  <a:t>Horizontal axis title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117074032"/>
        <c:crosses val="autoZero"/>
        <c:auto val="1"/>
        <c:lblAlgn val="ctr"/>
        <c:lblOffset val="100"/>
        <c:noMultiLvlLbl val="1"/>
      </c:catAx>
      <c:valAx>
        <c:axId val="117074032"/>
        <c:scaling>
          <c:orientation val="minMax"/>
          <c:max val="-40"/>
          <c:min val="-1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#,##0.0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117073640"/>
        <c:crosses val="autoZero"/>
        <c:crossBetween val="between"/>
      </c:valAx>
    </c:plotArea>
    <c:legend>
      <c:legendPos val="r"/>
      <c:overlay val="0"/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</a:defRPr>
            </a:pPr>
            <a:r>
              <a:rPr lang="en-US"/>
              <a:t>4500MHz output/200K loop BW, 50M vs 100M Fcomp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Compare!$F$20</c:f>
              <c:strCache>
                <c:ptCount val="1"/>
                <c:pt idx="0">
                  <c:v>50M Fcomp</c:v>
                </c:pt>
              </c:strCache>
            </c:strRef>
          </c:tx>
          <c:spPr>
            <a:ln w="25400" cmpd="sng">
              <a:solidFill>
                <a:srgbClr val="3366CC"/>
              </a:solidFill>
            </a:ln>
          </c:spPr>
          <c:marker>
            <c:symbol val="none"/>
          </c:marker>
          <c:cat>
            <c:numRef>
              <c:f>Compare!$E$21:$E$32</c:f>
              <c:numCache>
                <c:formatCode>General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cat>
          <c:val>
            <c:numRef>
              <c:f>Compare!$F$21:$F$32</c:f>
              <c:numCache>
                <c:formatCode>#,##0.00</c:formatCode>
                <c:ptCount val="12"/>
                <c:pt idx="0">
                  <c:v>-68.767241367162597</c:v>
                </c:pt>
                <c:pt idx="1">
                  <c:v>-92.992774414386105</c:v>
                </c:pt>
                <c:pt idx="2">
                  <c:v>-98.542773066140597</c:v>
                </c:pt>
                <c:pt idx="3">
                  <c:v>-101.43758722141099</c:v>
                </c:pt>
                <c:pt idx="4">
                  <c:v>-102.658960263504</c:v>
                </c:pt>
                <c:pt idx="5">
                  <c:v>-102.703732468916</c:v>
                </c:pt>
                <c:pt idx="6">
                  <c:v>-102.035507589967</c:v>
                </c:pt>
                <c:pt idx="7">
                  <c:v>-102.054127271228</c:v>
                </c:pt>
                <c:pt idx="8">
                  <c:v>-104.096430636709</c:v>
                </c:pt>
                <c:pt idx="9">
                  <c:v>-110.1922353957</c:v>
                </c:pt>
                <c:pt idx="10">
                  <c:v>-122.808178131948</c:v>
                </c:pt>
                <c:pt idx="11">
                  <c:v>-151.78289377030899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55A-450E-833F-45C881B288B6}"/>
            </c:ext>
          </c:extLst>
        </c:ser>
        <c:ser>
          <c:idx val="1"/>
          <c:order val="1"/>
          <c:tx>
            <c:strRef>
              <c:f>Compare!$G$20</c:f>
              <c:strCache>
                <c:ptCount val="1"/>
                <c:pt idx="0">
                  <c:v>100M Fcomp</c:v>
                </c:pt>
              </c:strCache>
            </c:strRef>
          </c:tx>
          <c:spPr>
            <a:ln w="25400" cmpd="sng">
              <a:solidFill>
                <a:srgbClr val="DC3912"/>
              </a:solidFill>
            </a:ln>
          </c:spPr>
          <c:marker>
            <c:symbol val="none"/>
          </c:marker>
          <c:cat>
            <c:numRef>
              <c:f>Compare!$E$21:$E$32</c:f>
              <c:numCache>
                <c:formatCode>General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cat>
          <c:val>
            <c:numRef>
              <c:f>Compare!$G$21:$G$32</c:f>
              <c:numCache>
                <c:formatCode>#,##0.00</c:formatCode>
                <c:ptCount val="12"/>
                <c:pt idx="0">
                  <c:v>-74.373470609441597</c:v>
                </c:pt>
                <c:pt idx="1">
                  <c:v>-93.343017289458402</c:v>
                </c:pt>
                <c:pt idx="2">
                  <c:v>-99.054954558475004</c:v>
                </c:pt>
                <c:pt idx="3">
                  <c:v>-102.306465181452</c:v>
                </c:pt>
                <c:pt idx="4">
                  <c:v>-103.949975652837</c:v>
                </c:pt>
                <c:pt idx="5">
                  <c:v>-104.32004657591899</c:v>
                </c:pt>
                <c:pt idx="6">
                  <c:v>-103.725568520491</c:v>
                </c:pt>
                <c:pt idx="7">
                  <c:v>-103.753525562516</c:v>
                </c:pt>
                <c:pt idx="8">
                  <c:v>-105.934928955367</c:v>
                </c:pt>
                <c:pt idx="9">
                  <c:v>-112.234652915742</c:v>
                </c:pt>
                <c:pt idx="10">
                  <c:v>-124.56670050456199</c:v>
                </c:pt>
                <c:pt idx="11">
                  <c:v>-151.88153203760399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55A-450E-833F-45C881B28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559304"/>
        <c:axId val="117559696"/>
      </c:lineChart>
      <c:catAx>
        <c:axId val="117559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/>
                </a:pPr>
                <a:r>
                  <a:rPr lang="en-US"/>
                  <a:t>Horizontal axis title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117559696"/>
        <c:crosses val="autoZero"/>
        <c:auto val="1"/>
        <c:lblAlgn val="ctr"/>
        <c:lblOffset val="100"/>
        <c:noMultiLvlLbl val="1"/>
      </c:catAx>
      <c:valAx>
        <c:axId val="117559696"/>
        <c:scaling>
          <c:orientation val="minMax"/>
          <c:max val="-90"/>
          <c:min val="-1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#,##0.0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117559304"/>
        <c:crosses val="autoZero"/>
        <c:crossBetween val="between"/>
      </c:valAx>
    </c:plotArea>
    <c:legend>
      <c:legendPos val="r"/>
      <c:overlay val="0"/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</a:defRPr>
            </a:pPr>
            <a:r>
              <a:rPr lang="en-US"/>
              <a:t>Chart title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'R noise'!$B$52</c:f>
              <c:strCache>
                <c:ptCount val="1"/>
                <c:pt idx="0">
                  <c:v>r2</c:v>
                </c:pt>
              </c:strCache>
            </c:strRef>
          </c:tx>
          <c:spPr>
            <a:ln w="25400" cmpd="sng">
              <a:solidFill>
                <a:srgbClr val="3366CC"/>
              </a:solidFill>
            </a:ln>
          </c:spPr>
          <c:marker>
            <c:symbol val="circle"/>
            <c:size val="7"/>
            <c:spPr>
              <a:solidFill>
                <a:srgbClr val="3366CC"/>
              </a:solidFill>
              <a:ln cmpd="sng">
                <a:solidFill>
                  <a:srgbClr val="3366CC"/>
                </a:solidFill>
              </a:ln>
            </c:spPr>
          </c:marker>
          <c:cat>
            <c:numRef>
              <c:f>'R noise'!$A$53:$A$64</c:f>
              <c:numCache>
                <c:formatCode>General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cat>
          <c:val>
            <c:numRef>
              <c:f>'R noise'!$B$53:$B$64</c:f>
              <c:numCache>
                <c:formatCode>General</c:formatCode>
                <c:ptCount val="12"/>
                <c:pt idx="0">
                  <c:v>14.850072778199097</c:v>
                </c:pt>
                <c:pt idx="1">
                  <c:v>14.852146399647816</c:v>
                </c:pt>
                <c:pt idx="2">
                  <c:v>14.860556451645026</c:v>
                </c:pt>
                <c:pt idx="3">
                  <c:v>14.87973267029696</c:v>
                </c:pt>
                <c:pt idx="4">
                  <c:v>14.956955808785239</c:v>
                </c:pt>
                <c:pt idx="5">
                  <c:v>15.122002911368954</c:v>
                </c:pt>
                <c:pt idx="6">
                  <c:v>14.154201200129375</c:v>
                </c:pt>
                <c:pt idx="7">
                  <c:v>14.105546047029202</c:v>
                </c:pt>
                <c:pt idx="8">
                  <c:v>9.8672134348312301</c:v>
                </c:pt>
                <c:pt idx="9">
                  <c:v>4.5048979470975485</c:v>
                </c:pt>
                <c:pt idx="10">
                  <c:v>1.0700967877986645</c:v>
                </c:pt>
                <c:pt idx="11">
                  <c:v>0.13980290074382598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C9-4F59-976E-DFF420893BC2}"/>
            </c:ext>
          </c:extLst>
        </c:ser>
        <c:ser>
          <c:idx val="1"/>
          <c:order val="1"/>
          <c:tx>
            <c:strRef>
              <c:f>'R noise'!$C$52</c:f>
              <c:strCache>
                <c:ptCount val="1"/>
                <c:pt idx="0">
                  <c:v>r3</c:v>
                </c:pt>
              </c:strCache>
            </c:strRef>
          </c:tx>
          <c:spPr>
            <a:ln w="25400" cmpd="sng">
              <a:solidFill>
                <a:srgbClr val="DC3912"/>
              </a:solidFill>
            </a:ln>
          </c:spPr>
          <c:marker>
            <c:symbol val="none"/>
          </c:marker>
          <c:cat>
            <c:numRef>
              <c:f>'R noise'!$A$53:$A$64</c:f>
              <c:numCache>
                <c:formatCode>General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cat>
          <c:val>
            <c:numRef>
              <c:f>'R noise'!$C$53:$C$64</c:f>
              <c:numCache>
                <c:formatCode>General</c:formatCode>
                <c:ptCount val="12"/>
                <c:pt idx="0">
                  <c:v>6.7739053126101059</c:v>
                </c:pt>
                <c:pt idx="1">
                  <c:v>6.7738445834646948</c:v>
                </c:pt>
                <c:pt idx="2">
                  <c:v>6.7729246724662246</c:v>
                </c:pt>
                <c:pt idx="3">
                  <c:v>6.7677810478187359</c:v>
                </c:pt>
                <c:pt idx="4">
                  <c:v>6.7495193513312186</c:v>
                </c:pt>
                <c:pt idx="5">
                  <c:v>6.6781223599427788</c:v>
                </c:pt>
                <c:pt idx="6">
                  <c:v>6.4164224099039098</c:v>
                </c:pt>
                <c:pt idx="7">
                  <c:v>6.2418053213425644</c:v>
                </c:pt>
                <c:pt idx="8">
                  <c:v>5.2360504631870892</c:v>
                </c:pt>
                <c:pt idx="9">
                  <c:v>3.7700059179240868</c:v>
                </c:pt>
                <c:pt idx="10">
                  <c:v>2.4888007226454927</c:v>
                </c:pt>
                <c:pt idx="11">
                  <c:v>1.0483192849678937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C9-4F59-976E-DFF420893BC2}"/>
            </c:ext>
          </c:extLst>
        </c:ser>
        <c:ser>
          <c:idx val="2"/>
          <c:order val="2"/>
          <c:tx>
            <c:strRef>
              <c:f>'R noise'!$D$52</c:f>
              <c:strCache>
                <c:ptCount val="1"/>
                <c:pt idx="0">
                  <c:v>opa</c:v>
                </c:pt>
              </c:strCache>
            </c:strRef>
          </c:tx>
          <c:spPr>
            <a:ln w="25400" cmpd="sng">
              <a:solidFill>
                <a:srgbClr val="FF9900"/>
              </a:solidFill>
            </a:ln>
          </c:spPr>
          <c:marker>
            <c:symbol val="none"/>
          </c:marker>
          <c:cat>
            <c:numRef>
              <c:f>'R noise'!$A$53:$A$64</c:f>
              <c:numCache>
                <c:formatCode>General</c:formatCode>
                <c:ptCount val="12"/>
                <c:pt idx="0">
                  <c:v>100</c:v>
                </c:pt>
                <c:pt idx="1">
                  <c:v>1000</c:v>
                </c:pt>
                <c:pt idx="2">
                  <c:v>4000</c:v>
                </c:pt>
                <c:pt idx="3">
                  <c:v>10000</c:v>
                </c:pt>
                <c:pt idx="4">
                  <c:v>20000</c:v>
                </c:pt>
                <c:pt idx="5">
                  <c:v>40000</c:v>
                </c:pt>
                <c:pt idx="6">
                  <c:v>80000</c:v>
                </c:pt>
                <c:pt idx="7">
                  <c:v>100000</c:v>
                </c:pt>
                <c:pt idx="8">
                  <c:v>200000</c:v>
                </c:pt>
                <c:pt idx="9">
                  <c:v>400000</c:v>
                </c:pt>
                <c:pt idx="10">
                  <c:v>1000000</c:v>
                </c:pt>
                <c:pt idx="11">
                  <c:v>10000000</c:v>
                </c:pt>
              </c:numCache>
            </c:numRef>
          </c:cat>
          <c:val>
            <c:numRef>
              <c:f>'R noise'!$D$53:$D$64</c:f>
              <c:numCache>
                <c:formatCode>General</c:formatCode>
                <c:ptCount val="12"/>
                <c:pt idx="0">
                  <c:v>9.6105513826771823E-11</c:v>
                </c:pt>
                <c:pt idx="1">
                  <c:v>9.6104146523610664E-11</c:v>
                </c:pt>
                <c:pt idx="2">
                  <c:v>9.6083436429003032E-11</c:v>
                </c:pt>
                <c:pt idx="3">
                  <c:v>9.5967688965959588E-11</c:v>
                </c:pt>
                <c:pt idx="4">
                  <c:v>9.5557453264248651E-11</c:v>
                </c:pt>
                <c:pt idx="5">
                  <c:v>9.3964189277097052E-11</c:v>
                </c:pt>
                <c:pt idx="6">
                  <c:v>8.8268772190834443E-11</c:v>
                </c:pt>
                <c:pt idx="7">
                  <c:v>8.4594875516079618E-11</c:v>
                </c:pt>
                <c:pt idx="8">
                  <c:v>6.540057429941605E-11</c:v>
                </c:pt>
                <c:pt idx="9">
                  <c:v>4.3396007820720463E-11</c:v>
                </c:pt>
                <c:pt idx="10">
                  <c:v>2.9586894137183777E-11</c:v>
                </c:pt>
                <c:pt idx="11">
                  <c:v>6.7605748058122751E-12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C9-4F59-976E-DFF420893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074816"/>
        <c:axId val="117073248"/>
      </c:lineChart>
      <c:catAx>
        <c:axId val="117074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/>
                </a:pPr>
                <a:r>
                  <a:rPr lang="en-US"/>
                  <a:t>Horizontal axis title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117073248"/>
        <c:crosses val="autoZero"/>
        <c:auto val="1"/>
        <c:lblAlgn val="ctr"/>
        <c:lblOffset val="100"/>
        <c:noMultiLvlLbl val="1"/>
      </c:catAx>
      <c:valAx>
        <c:axId val="117073248"/>
        <c:scaling>
          <c:orientation val="minMax"/>
          <c:max val="3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rPr lang="en-US"/>
                  <a:t>Left vertical axis title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117074816"/>
        <c:crosses val="autoZero"/>
        <c:crossBetween val="between"/>
      </c:valAx>
    </c:plotArea>
    <c:legend>
      <c:legendPos val="r"/>
      <c:overlay val="0"/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20</xdr:col>
      <xdr:colOff>76200</xdr:colOff>
      <xdr:row>50</xdr:row>
      <xdr:rowOff>47625</xdr:rowOff>
    </xdr:to>
    <xdr:sp macro="" textlink="">
      <xdr:nvSpPr>
        <xdr:cNvPr id="1026" name="Rectangle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17</xdr:col>
      <xdr:colOff>133351</xdr:colOff>
      <xdr:row>9</xdr:row>
      <xdr:rowOff>9525</xdr:rowOff>
    </xdr:from>
    <xdr:ext cx="4867274" cy="4438650"/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28</xdr:col>
      <xdr:colOff>161925</xdr:colOff>
      <xdr:row>8</xdr:row>
      <xdr:rowOff>9525</xdr:rowOff>
    </xdr:from>
    <xdr:ext cx="2590801" cy="2333625"/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27</xdr:col>
      <xdr:colOff>276225</xdr:colOff>
      <xdr:row>20</xdr:row>
      <xdr:rowOff>161925</xdr:rowOff>
    </xdr:from>
    <xdr:ext cx="3038474" cy="1990725"/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72625" cy="81438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72625" cy="81438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8670603-798A-4ACC-A282-ADB9C1721C16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EEC75ACB-ACB1-4AD2-948C-421E59287893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7E64C894-040E-4C63-9D70-D3A4CCD2620B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F18BEDF-D8AC-4D88-8636-1653EB12B693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444A1508-9AE3-4E46-A35D-578799A4450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9A921EF8-61AD-452D-9725-12F304E3D7D9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6DD7AB7B-2CA0-4842-BD96-ED437B24714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67843CAE-6B68-4489-A650-88C39614EB9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76200</xdr:colOff>
      <xdr:row>50</xdr:row>
      <xdr:rowOff>47625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B9903ECA-0A45-47C8-BDCD-126958286FC3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848850" cy="8334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19</xdr:row>
      <xdr:rowOff>76200</xdr:rowOff>
    </xdr:from>
    <xdr:to>
      <xdr:col>8</xdr:col>
      <xdr:colOff>762000</xdr:colOff>
      <xdr:row>30</xdr:row>
      <xdr:rowOff>0</xdr:rowOff>
    </xdr:to>
    <xdr:pic>
      <xdr:nvPicPr>
        <xdr:cNvPr id="2" name="image02.pn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8353425" cy="1704975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723900</xdr:colOff>
      <xdr:row>59</xdr:row>
      <xdr:rowOff>76200</xdr:rowOff>
    </xdr:to>
    <xdr:sp macro="" textlink="">
      <xdr:nvSpPr>
        <xdr:cNvPr id="2050" name="Rectangle 2" hidden="1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6B01D94D-EB0B-4AA4-A93F-8E9BE4C56B37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632CE650-0B16-4F83-9447-856C117D5F0D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3F0BFF8E-4866-4557-9C33-A01DC7A09095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6823D0A6-6955-4384-88B9-844FAF5089A4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E0C9A91D-EE6A-4F95-BF51-08C56E8D9726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50F627A3-3892-462E-8231-E36BD1B18D2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FC32F1DD-E863-4E0A-ACB5-0E7CCA8E4B63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1256D934-7533-4CE3-BD1D-D832CA58AA79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723900</xdr:colOff>
      <xdr:row>61</xdr:row>
      <xdr:rowOff>133350</xdr:rowOff>
    </xdr:to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90408F90-A4B4-4750-BAD7-3E2E4DAA4D5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0</xdr:row>
      <xdr:rowOff>342900</xdr:rowOff>
    </xdr:from>
    <xdr:to>
      <xdr:col>15</xdr:col>
      <xdr:colOff>485775</xdr:colOff>
      <xdr:row>32</xdr:row>
      <xdr:rowOff>85725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3075" name="Rectangle 3" hidden="1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50DBA3A9-E626-4539-B8E2-077D369627F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6" name="AutoShape 3">
          <a:extLst>
            <a:ext uri="{FF2B5EF4-FFF2-40B4-BE49-F238E27FC236}">
              <a16:creationId xmlns:a16="http://schemas.microsoft.com/office/drawing/2014/main" id="{4CC138D6-20BA-472B-8E25-267097B2F4C5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7" name="AutoShape 3">
          <a:extLst>
            <a:ext uri="{FF2B5EF4-FFF2-40B4-BE49-F238E27FC236}">
              <a16:creationId xmlns:a16="http://schemas.microsoft.com/office/drawing/2014/main" id="{C818F7FC-76B9-4E44-A2A2-700370C155CA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3A7CAF8F-ED5B-425F-9DEC-EFF562C1CA21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9" name="AutoShape 3">
          <a:extLst>
            <a:ext uri="{FF2B5EF4-FFF2-40B4-BE49-F238E27FC236}">
              <a16:creationId xmlns:a16="http://schemas.microsoft.com/office/drawing/2014/main" id="{D332AE0C-D108-44D7-8732-853D04B66B36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id="{04511093-AFE1-4075-A876-3FF4ED1744C2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id="{EECE1054-879B-49A1-8B53-FBC46C0F4171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id="{91729756-3F1D-4E04-B888-DD4BE2B1E398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333375</xdr:colOff>
      <xdr:row>58</xdr:row>
      <xdr:rowOff>133350</xdr:rowOff>
    </xdr:to>
    <xdr:sp macro="" textlink="">
      <xdr:nvSpPr>
        <xdr:cNvPr id="13" name="AutoShape 3">
          <a:extLst>
            <a:ext uri="{FF2B5EF4-FFF2-40B4-BE49-F238E27FC236}">
              <a16:creationId xmlns:a16="http://schemas.microsoft.com/office/drawing/2014/main" id="{4C12E6FE-F42F-46FC-BC2F-A12B651E0C2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828675</xdr:colOff>
      <xdr:row>0</xdr:row>
      <xdr:rowOff>342900</xdr:rowOff>
    </xdr:from>
    <xdr:to>
      <xdr:col>12</xdr:col>
      <xdr:colOff>781050</xdr:colOff>
      <xdr:row>23</xdr:row>
      <xdr:rowOff>152400</xdr:rowOff>
    </xdr:to>
    <xdr:graphicFrame macro="">
      <xdr:nvGraphicFramePr>
        <xdr:cNvPr id="6" name="Chart 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523875</xdr:colOff>
      <xdr:row>17</xdr:row>
      <xdr:rowOff>381000</xdr:rowOff>
    </xdr:from>
    <xdr:to>
      <xdr:col>13</xdr:col>
      <xdr:colOff>180975</xdr:colOff>
      <xdr:row>44</xdr:row>
      <xdr:rowOff>38100</xdr:rowOff>
    </xdr:to>
    <xdr:graphicFrame macro="">
      <xdr:nvGraphicFramePr>
        <xdr:cNvPr id="7" name="Chart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133350</xdr:rowOff>
    </xdr:to>
    <xdr:sp macro="" textlink="">
      <xdr:nvSpPr>
        <xdr:cNvPr id="4098" name="Rectangle 2" hidden="1">
          <a:extLst>
            <a:ext uri="{FF2B5EF4-FFF2-40B4-BE49-F238E27FC236}">
              <a16:creationId xmlns:a16="http://schemas.microsoft.com/office/drawing/2014/main" id="{00000000-0008-0000-0700-00000210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02D10F3-1C3E-42AB-8631-7EBB02A24137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2BA366D2-C565-4ABA-9FD1-55D0F88799A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FE581D90-3C42-4086-971F-92245F313DC3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719A08A5-B16B-4E34-B55E-F37E6CB4A68E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756BF50E-B99A-489F-9290-3C1FAAE938E6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BE82DE06-0A65-4D20-A6D0-9AF0B5A394A3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774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12AD352F-06BA-493F-9161-42A225868EE2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774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D59CAAF9-7C9C-4A72-B648-B3723655E14D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774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9525</xdr:colOff>
      <xdr:row>58</xdr:row>
      <xdr:rowOff>123825</xdr:rowOff>
    </xdr:to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BA03FA0-15B4-41CD-AFDF-BA1D960DF99C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774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5122" name="Rectangle 2" hidden="1">
          <a:extLst>
            <a:ext uri="{FF2B5EF4-FFF2-40B4-BE49-F238E27FC236}">
              <a16:creationId xmlns:a16="http://schemas.microsoft.com/office/drawing/2014/main" id="{00000000-0008-0000-0A00-0000021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CBF75F55-ECA2-4A85-AF61-9845D853A515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E465C610-7A85-4640-ACF6-850FABF0A6C8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91D90F38-B856-46E1-94C4-B6A3CC2BBED7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5C655772-9A13-4CCC-8ED6-2F19185AB8A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F71AD2C-8C91-4AA2-9057-278E677416F1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F57815E7-6F7B-448C-A433-887F12B6D508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47218057-199C-46A2-8757-E79557EAD7BC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EBE1DFC0-C63F-4ED7-8E53-C34F36B0BB9B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390525</xdr:colOff>
      <xdr:row>26</xdr:row>
      <xdr:rowOff>133350</xdr:rowOff>
    </xdr:to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B055654-2293-4AFE-B6D0-4E9F17D2DB3C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315700" cy="63246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52</xdr:row>
      <xdr:rowOff>466725</xdr:rowOff>
    </xdr:from>
    <xdr:to>
      <xdr:col>16</xdr:col>
      <xdr:colOff>76200</xdr:colOff>
      <xdr:row>73</xdr:row>
      <xdr:rowOff>0</xdr:rowOff>
    </xdr:to>
    <xdr:graphicFrame macro="">
      <xdr:nvGraphicFramePr>
        <xdr:cNvPr id="8" name="Chart 8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23"/>
  <sheetViews>
    <sheetView showGridLines="0" tabSelected="1" workbookViewId="0">
      <selection activeCell="O16" sqref="O16"/>
    </sheetView>
  </sheetViews>
  <sheetFormatPr defaultColWidth="14.42578125" defaultRowHeight="12.75" customHeight="1"/>
  <cols>
    <col min="1" max="1" width="11.85546875" style="362" customWidth="1"/>
    <col min="2" max="6" width="6.28515625" style="362" customWidth="1"/>
    <col min="7" max="7" width="7.7109375" style="362" customWidth="1"/>
    <col min="8" max="8" width="8" style="362" customWidth="1"/>
    <col min="9" max="9" width="7.5703125" style="362" customWidth="1"/>
    <col min="10" max="10" width="8.85546875" style="362" customWidth="1"/>
    <col min="11" max="11" width="7" style="362" customWidth="1"/>
    <col min="12" max="12" width="8.85546875" style="362" customWidth="1"/>
    <col min="13" max="13" width="6.28515625" style="362" customWidth="1"/>
    <col min="14" max="14" width="8" style="362" customWidth="1"/>
    <col min="15" max="15" width="10.85546875" style="362" customWidth="1"/>
    <col min="16" max="17" width="6.85546875" style="362" customWidth="1"/>
    <col min="18" max="18" width="8.5703125" style="362" customWidth="1"/>
    <col min="19" max="19" width="7.85546875" style="362" customWidth="1"/>
    <col min="20" max="20" width="8.7109375" style="362" customWidth="1"/>
    <col min="21" max="21" width="7.140625" style="362" customWidth="1"/>
    <col min="22" max="25" width="8.7109375" style="362" customWidth="1"/>
    <col min="26" max="26" width="9.42578125" style="362" customWidth="1"/>
    <col min="27" max="27" width="11.85546875" style="362" customWidth="1"/>
    <col min="28" max="28" width="8" style="362" customWidth="1"/>
    <col min="29" max="29" width="8.140625" style="362" customWidth="1"/>
    <col min="30" max="30" width="8.28515625" style="362" customWidth="1"/>
    <col min="31" max="33" width="9" style="362" customWidth="1"/>
    <col min="34" max="16384" width="14.42578125" style="362"/>
  </cols>
  <sheetData>
    <row r="1" spans="1:33" ht="15" customHeight="1">
      <c r="A1" s="361" t="s">
        <v>0</v>
      </c>
      <c r="B1" s="489" t="s">
        <v>620</v>
      </c>
      <c r="C1" s="489"/>
      <c r="D1" s="490"/>
      <c r="E1" s="452" t="s">
        <v>2</v>
      </c>
      <c r="F1" s="445"/>
      <c r="G1" s="451" t="str">
        <f>IF(Inputs!AB4=1,"internal",A7)</f>
        <v>internal</v>
      </c>
      <c r="H1" s="445"/>
      <c r="I1" s="445"/>
      <c r="J1" s="112"/>
      <c r="K1" s="393"/>
      <c r="L1" s="442"/>
      <c r="M1" s="443"/>
      <c r="N1" s="443"/>
      <c r="O1" s="443"/>
      <c r="P1" s="443"/>
      <c r="Q1" s="443"/>
      <c r="R1" s="443"/>
      <c r="S1" s="443"/>
      <c r="T1" s="443"/>
      <c r="U1" s="443"/>
    </row>
    <row r="2" spans="1:33" ht="15" customHeight="1" thickBot="1">
      <c r="I2" s="112"/>
      <c r="J2" s="14"/>
      <c r="K2" s="112"/>
      <c r="L2" s="14"/>
      <c r="M2" s="112"/>
      <c r="N2" s="14"/>
      <c r="O2" s="112"/>
      <c r="R2" s="102"/>
      <c r="V2" s="112"/>
      <c r="W2" s="4"/>
      <c r="X2" s="112"/>
    </row>
    <row r="3" spans="1:33" ht="15" customHeight="1">
      <c r="A3" s="363" t="s">
        <v>3</v>
      </c>
      <c r="B3" s="55"/>
      <c r="C3" s="55"/>
      <c r="D3" s="55"/>
      <c r="E3" s="55"/>
      <c r="F3" s="55"/>
      <c r="G3" s="55"/>
      <c r="H3" s="55"/>
      <c r="I3" s="55"/>
      <c r="J3" s="55"/>
      <c r="K3" s="139"/>
      <c r="L3" s="139"/>
      <c r="M3" s="139"/>
      <c r="N3" s="139"/>
      <c r="O3" s="55"/>
      <c r="P3" s="133"/>
      <c r="Q3" s="383"/>
      <c r="R3" s="453" t="s">
        <v>4</v>
      </c>
      <c r="S3" s="454"/>
      <c r="T3" s="454"/>
      <c r="U3" s="454"/>
      <c r="V3" s="395"/>
      <c r="W3" s="396"/>
      <c r="X3" s="395"/>
      <c r="Y3" s="397"/>
      <c r="Z3" s="397"/>
      <c r="AA3" s="397"/>
      <c r="AB3" s="397"/>
      <c r="AC3" s="397"/>
      <c r="AD3" s="397"/>
      <c r="AE3" s="397"/>
      <c r="AF3" s="397"/>
      <c r="AG3" s="398"/>
    </row>
    <row r="4" spans="1:33" ht="15" customHeight="1">
      <c r="A4" s="79"/>
      <c r="E4" s="8" t="s">
        <v>5</v>
      </c>
      <c r="F4" s="364" t="str">
        <f>IF(E5="calc","target","")</f>
        <v/>
      </c>
      <c r="G4" s="365" t="str">
        <f>IF(E5="calc","BW(KHz):","")</f>
        <v/>
      </c>
      <c r="H4" s="486">
        <v>50</v>
      </c>
      <c r="I4" s="365" t="str">
        <f>IF(E5="calc","pm(deg):","")</f>
        <v/>
      </c>
      <c r="J4" s="504">
        <v>60</v>
      </c>
      <c r="K4" s="366" t="str">
        <f>IF(E5="calc","t3/t1(%):","")</f>
        <v/>
      </c>
      <c r="L4" s="367"/>
      <c r="M4" s="139"/>
      <c r="N4" s="139"/>
      <c r="P4" s="18"/>
      <c r="Q4" s="383"/>
      <c r="R4" s="399"/>
      <c r="S4" s="386"/>
      <c r="T4" s="386"/>
      <c r="U4" s="386"/>
      <c r="V4" s="385"/>
      <c r="W4" s="400"/>
      <c r="X4" s="385"/>
      <c r="Y4" s="386"/>
      <c r="Z4" s="386"/>
      <c r="AA4" s="386"/>
      <c r="AB4" s="386"/>
      <c r="AC4" s="386"/>
      <c r="AD4" s="386"/>
      <c r="AE4" s="386"/>
      <c r="AF4" s="386"/>
      <c r="AG4" s="401"/>
    </row>
    <row r="5" spans="1:33" ht="15" customHeight="1">
      <c r="A5" s="79"/>
      <c r="E5" s="491" t="s">
        <v>617</v>
      </c>
      <c r="F5" s="112"/>
      <c r="G5" s="107" t="s">
        <v>7</v>
      </c>
      <c r="H5" s="107" t="s">
        <v>8</v>
      </c>
      <c r="I5" s="107" t="s">
        <v>9</v>
      </c>
      <c r="J5" s="72" t="s">
        <v>10</v>
      </c>
      <c r="K5" s="72" t="s">
        <v>11</v>
      </c>
      <c r="L5" s="35" t="s">
        <v>12</v>
      </c>
      <c r="M5" s="35"/>
      <c r="P5" s="18"/>
      <c r="Q5" s="383"/>
      <c r="R5" s="402" t="s">
        <v>13</v>
      </c>
      <c r="S5" s="388" t="s">
        <v>14</v>
      </c>
      <c r="T5" s="388"/>
      <c r="U5" s="18"/>
      <c r="V5" s="107" t="s">
        <v>15</v>
      </c>
      <c r="W5" s="506">
        <f>'PLL filter cal'!Q44/1000</f>
        <v>51.680310744073289</v>
      </c>
      <c r="X5" s="107" t="s">
        <v>16</v>
      </c>
      <c r="Y5" s="506">
        <f>'PLL filter cal'!Q45</f>
        <v>59.79837298378466</v>
      </c>
      <c r="Z5" s="79"/>
      <c r="AA5" s="386"/>
      <c r="AB5" s="386"/>
      <c r="AC5" s="386"/>
      <c r="AD5" s="386"/>
      <c r="AE5" s="386"/>
      <c r="AF5" s="386"/>
      <c r="AG5" s="401"/>
    </row>
    <row r="6" spans="1:33" ht="15" customHeight="1">
      <c r="A6" s="368" t="str">
        <f>IF(G1="internal","","vco sel")</f>
        <v/>
      </c>
      <c r="E6" s="270"/>
      <c r="F6" s="112"/>
      <c r="G6" s="369" t="str">
        <f>IF(E5="calc",'PLL filter cal'!B16*1000000000,"")</f>
        <v/>
      </c>
      <c r="H6" s="369" t="str">
        <f>IF(E5="calc",'PLL filter cal'!B19*0.001,"")</f>
        <v/>
      </c>
      <c r="I6" s="369" t="str">
        <f>IF(E5="calc",'PLL filter cal'!B17*1000000000,"")</f>
        <v/>
      </c>
      <c r="J6" s="394" t="str">
        <f>IF(E5="calc",'PLL filter cal'!B20*0.001,"")</f>
        <v/>
      </c>
      <c r="K6" s="394" t="str">
        <f>IF(E5="calc",'PLL filter cal'!B18*1000000000,"")</f>
        <v/>
      </c>
      <c r="L6" s="370" t="s">
        <v>17</v>
      </c>
      <c r="M6" s="35"/>
      <c r="P6" s="18"/>
      <c r="Q6" s="383"/>
      <c r="R6" s="403" t="s">
        <v>18</v>
      </c>
      <c r="S6" s="458" t="s">
        <v>19</v>
      </c>
      <c r="T6" s="459"/>
      <c r="U6" s="386"/>
      <c r="V6" s="455" t="s">
        <v>619</v>
      </c>
      <c r="W6" s="447"/>
      <c r="X6" s="447"/>
      <c r="Y6" s="447"/>
      <c r="Z6" s="132"/>
      <c r="AA6" s="132"/>
      <c r="AB6" s="386"/>
      <c r="AC6" s="386"/>
      <c r="AD6" s="386"/>
      <c r="AE6" s="386"/>
      <c r="AF6" s="386"/>
      <c r="AG6" s="401"/>
    </row>
    <row r="7" spans="1:33" ht="15" customHeight="1">
      <c r="A7" s="441" t="s">
        <v>20</v>
      </c>
      <c r="E7" s="270"/>
      <c r="F7" s="492" t="s">
        <v>618</v>
      </c>
      <c r="G7" s="503">
        <f>VLOOKUP(F7,I24:N31,2,0)</f>
        <v>1.4999999999999999E-2</v>
      </c>
      <c r="H7" s="503">
        <f>VLOOKUP(F7,I24:N31,3,0)</f>
        <v>15</v>
      </c>
      <c r="I7" s="503">
        <f>VLOOKUP(F7,I24:N31,4,0)</f>
        <v>0.75</v>
      </c>
      <c r="J7" s="371">
        <f>VLOOKUP(F7,I24:N31,5,0)</f>
        <v>3</v>
      </c>
      <c r="K7" s="371">
        <f>VLOOKUP(F7,I24:N31,6,0)</f>
        <v>3.1000000000000003E-2</v>
      </c>
      <c r="L7" s="35">
        <v>1</v>
      </c>
      <c r="M7" s="35"/>
      <c r="P7" s="18"/>
      <c r="Q7" s="383"/>
      <c r="R7" s="403" t="s">
        <v>22</v>
      </c>
      <c r="S7" s="383" t="s">
        <v>23</v>
      </c>
      <c r="T7" s="383" t="s">
        <v>24</v>
      </c>
      <c r="U7" s="18" t="s">
        <v>25</v>
      </c>
      <c r="V7" s="107" t="s">
        <v>26</v>
      </c>
      <c r="W7" s="107" t="s">
        <v>27</v>
      </c>
      <c r="X7" s="372" t="s">
        <v>28</v>
      </c>
      <c r="Y7" s="107" t="s">
        <v>29</v>
      </c>
      <c r="Z7" s="107" t="s">
        <v>30</v>
      </c>
      <c r="AA7" s="373" t="s">
        <v>31</v>
      </c>
      <c r="AB7" s="79"/>
      <c r="AC7" s="386"/>
      <c r="AD7" s="386"/>
      <c r="AE7" s="386"/>
      <c r="AF7" s="386"/>
      <c r="AG7" s="401"/>
    </row>
    <row r="8" spans="1:33" ht="15" customHeight="1">
      <c r="A8" s="79"/>
      <c r="B8" s="14"/>
      <c r="C8" s="15"/>
      <c r="D8" s="15"/>
      <c r="E8" s="15"/>
      <c r="H8" s="18"/>
      <c r="I8" s="102"/>
      <c r="J8" s="35"/>
      <c r="K8" s="35"/>
      <c r="L8" s="35"/>
      <c r="M8" s="35" t="str">
        <f>IF(Inputs!AF4=1,"rc3","")</f>
        <v>rc3</v>
      </c>
      <c r="N8" s="374" t="s">
        <v>32</v>
      </c>
      <c r="O8" s="72" t="s">
        <v>33</v>
      </c>
      <c r="P8" s="18"/>
      <c r="Q8" s="383"/>
      <c r="R8" s="403" t="s">
        <v>34</v>
      </c>
      <c r="S8" s="498">
        <v>1</v>
      </c>
      <c r="T8" s="499">
        <v>1000</v>
      </c>
      <c r="U8" s="18" t="s">
        <v>35</v>
      </c>
      <c r="V8" s="507">
        <f>PNoise!AA28-3</f>
        <v>-12.761020846547595</v>
      </c>
      <c r="W8" s="507">
        <f>V8+3</f>
        <v>-9.7610208465475949</v>
      </c>
      <c r="X8" s="508">
        <f>PNoise!AA29</f>
        <v>18.623941126063535</v>
      </c>
      <c r="Y8" s="508">
        <f>1000*X8*PI()/180</f>
        <v>325.04909234738898</v>
      </c>
      <c r="Z8" s="509">
        <f>PNoise!AA30</f>
        <v>32.846457012457734</v>
      </c>
      <c r="AA8" s="509">
        <f>PNoise!AF28</f>
        <v>75.100026161272496</v>
      </c>
      <c r="AB8" s="19"/>
      <c r="AC8" s="383"/>
      <c r="AD8" s="386"/>
      <c r="AE8" s="386"/>
      <c r="AF8" s="386"/>
      <c r="AG8" s="401"/>
    </row>
    <row r="9" spans="1:33" ht="15" customHeight="1">
      <c r="A9" s="21" t="s">
        <v>626</v>
      </c>
      <c r="B9" s="22"/>
      <c r="C9" s="23"/>
      <c r="D9" s="23"/>
      <c r="E9" s="24"/>
      <c r="F9" s="24"/>
      <c r="G9" s="375" t="str">
        <f>IF(I9="act flt","opamp","")</f>
        <v/>
      </c>
      <c r="H9" s="376" t="s">
        <v>36</v>
      </c>
      <c r="I9" s="25" t="s">
        <v>37</v>
      </c>
      <c r="J9" s="30" t="s">
        <v>38</v>
      </c>
      <c r="K9" s="27" t="s">
        <v>39</v>
      </c>
      <c r="L9" s="26">
        <f>Inputs!L4</f>
        <v>1525</v>
      </c>
      <c r="M9" s="26">
        <f>Inputs!N4</f>
        <v>0</v>
      </c>
      <c r="N9" s="27"/>
      <c r="O9" s="28">
        <v>96</v>
      </c>
      <c r="P9" s="29"/>
      <c r="Q9" s="390"/>
      <c r="R9" s="404">
        <f>0.001*O9*L10</f>
        <v>9.6000000000000002E-2</v>
      </c>
      <c r="S9" s="390"/>
      <c r="T9" s="390"/>
      <c r="U9" s="390"/>
      <c r="V9" s="456"/>
      <c r="W9" s="457"/>
      <c r="X9" s="32"/>
      <c r="Y9" s="31">
        <f>Y8/1000</f>
        <v>0.32504909234738899</v>
      </c>
      <c r="Z9" s="32"/>
      <c r="AA9" s="32"/>
      <c r="AB9" s="390"/>
      <c r="AC9" s="390"/>
      <c r="AD9" s="390"/>
      <c r="AE9" s="390"/>
      <c r="AF9" s="390"/>
      <c r="AG9" s="405"/>
    </row>
    <row r="10" spans="1:33" ht="15" customHeight="1">
      <c r="A10" s="501" t="s">
        <v>67</v>
      </c>
      <c r="B10" s="102"/>
      <c r="C10" s="102"/>
      <c r="D10" s="102"/>
      <c r="E10" s="102"/>
      <c r="F10" s="102"/>
      <c r="G10" s="383"/>
      <c r="H10" s="34">
        <v>5.0999999999999996</v>
      </c>
      <c r="I10" s="39"/>
      <c r="J10" s="128">
        <f>IF(K9="auto",Inputs!E10,K10)</f>
        <v>70</v>
      </c>
      <c r="K10" s="78">
        <v>100</v>
      </c>
      <c r="L10" s="35">
        <f>IF(M9=1,IF(O12&gt;=L9,1,IF(O12&gt;=L9/2,2,IF(O12&gt;=L9/4,4,IF(O12&gt;=L9/8,8,IF(O12&gt;=L9/16,16,IF(O12&gt;=L9/32,32,IF(O12&gt;=L9/64,64,128))))))),1)</f>
        <v>1</v>
      </c>
      <c r="M10" s="35" t="str">
        <f>IF(M9=0,"BYP","DIVA")</f>
        <v>BYP</v>
      </c>
      <c r="N10" s="69" t="s">
        <v>41</v>
      </c>
      <c r="O10" s="36">
        <f>F60*1000</f>
        <v>0.24981684981684979</v>
      </c>
      <c r="P10" s="18"/>
      <c r="Q10" s="383"/>
      <c r="R10" s="403">
        <f>G12/H17</f>
        <v>2.4981684981684979E-4</v>
      </c>
      <c r="S10" s="383"/>
      <c r="T10" s="383"/>
      <c r="U10" s="383"/>
      <c r="V10" s="383"/>
      <c r="W10" s="383"/>
      <c r="X10" s="383"/>
      <c r="Y10" s="383"/>
      <c r="Z10" s="383"/>
      <c r="AA10" s="383"/>
      <c r="AB10" s="383"/>
      <c r="AC10" s="383"/>
      <c r="AD10" s="386"/>
      <c r="AE10" s="386"/>
      <c r="AF10" s="386"/>
      <c r="AG10" s="401"/>
    </row>
    <row r="11" spans="1:33" ht="15" customHeight="1">
      <c r="A11" s="37" t="s">
        <v>42</v>
      </c>
      <c r="B11" s="38"/>
      <c r="C11" s="39" t="s">
        <v>43</v>
      </c>
      <c r="D11" s="40" t="s">
        <v>44</v>
      </c>
      <c r="E11" s="39" t="s">
        <v>45</v>
      </c>
      <c r="F11" s="383"/>
      <c r="G11" s="384" t="s">
        <v>46</v>
      </c>
      <c r="H11" s="384" t="s">
        <v>47</v>
      </c>
      <c r="I11" s="42"/>
      <c r="J11" s="505" t="str">
        <f>'limit check '!E22</f>
        <v>fVCO</v>
      </c>
      <c r="K11" s="41"/>
      <c r="L11" s="35" t="str">
        <f>IF(M9=0,"","divL")</f>
        <v/>
      </c>
      <c r="M11" s="35" t="str">
        <f>IF(M9=0,"","divR")</f>
        <v/>
      </c>
      <c r="N11" s="42"/>
      <c r="O11" s="43" t="s">
        <v>48</v>
      </c>
      <c r="P11" s="48"/>
      <c r="Q11" s="383"/>
      <c r="R11" s="406"/>
      <c r="S11" s="383"/>
      <c r="T11" s="383"/>
      <c r="U11" s="383"/>
      <c r="V11" s="383"/>
      <c r="W11" s="383"/>
      <c r="X11" s="383"/>
      <c r="Y11" s="383"/>
      <c r="Z11" s="383"/>
      <c r="AA11" s="132"/>
      <c r="AB11" s="132"/>
      <c r="AC11" s="383"/>
      <c r="AD11" s="386"/>
      <c r="AE11" s="386"/>
      <c r="AF11" s="386"/>
      <c r="AG11" s="401"/>
    </row>
    <row r="12" spans="1:33" ht="15" customHeight="1">
      <c r="A12" s="485">
        <v>16.367999999999999</v>
      </c>
      <c r="B12" s="46"/>
      <c r="C12" s="47">
        <v>1</v>
      </c>
      <c r="D12" s="486">
        <v>16</v>
      </c>
      <c r="E12" s="47">
        <v>1</v>
      </c>
      <c r="F12" s="139"/>
      <c r="G12" s="483">
        <f>C12*A12/(D12*E12)</f>
        <v>1.0229999999999999</v>
      </c>
      <c r="H12" s="484">
        <v>0.5</v>
      </c>
      <c r="I12" s="18"/>
      <c r="J12" s="487">
        <f>L10*O12</f>
        <v>1575</v>
      </c>
      <c r="K12" s="66" t="str">
        <f t="shared" ref="K12:K14" si="0">IF(L$17=1,"|","")</f>
        <v/>
      </c>
      <c r="L12" s="49">
        <f>IF(L10&lt;=16,L10,16)</f>
        <v>1</v>
      </c>
      <c r="M12" s="68">
        <f>L10/L12</f>
        <v>1</v>
      </c>
      <c r="N12" s="377" t="s">
        <v>49</v>
      </c>
      <c r="O12" s="488">
        <v>1575</v>
      </c>
      <c r="P12" s="48"/>
      <c r="Q12" s="383"/>
      <c r="R12" s="406"/>
      <c r="S12" s="383"/>
      <c r="T12" s="383"/>
      <c r="U12" s="383"/>
      <c r="V12" s="383"/>
      <c r="W12" s="383"/>
      <c r="X12" s="383"/>
      <c r="Y12" s="383"/>
      <c r="Z12" s="18"/>
      <c r="AA12" s="83" t="s">
        <v>50</v>
      </c>
      <c r="AB12" s="50" t="s">
        <v>51</v>
      </c>
      <c r="AC12" s="79"/>
      <c r="AD12" s="383"/>
      <c r="AE12" s="386"/>
      <c r="AF12" s="386"/>
      <c r="AG12" s="401"/>
    </row>
    <row r="13" spans="1:33" ht="15" customHeight="1">
      <c r="A13" s="52"/>
      <c r="B13" s="102"/>
      <c r="C13" s="102"/>
      <c r="D13" s="102" t="str">
        <f>IF(AND(D12&gt;0,D12&lt;1024), "","oops")</f>
        <v/>
      </c>
      <c r="F13" s="102"/>
      <c r="G13" s="436" t="str">
        <f>IF(G12&gt;'limit check '!C14,"oops","")</f>
        <v/>
      </c>
      <c r="H13" s="383"/>
      <c r="I13" s="54"/>
      <c r="J13" s="55"/>
      <c r="K13" s="102" t="str">
        <f t="shared" si="0"/>
        <v/>
      </c>
      <c r="L13" s="378" t="str">
        <f t="shared" ref="L13:L14" si="1">IF(L$17=0,"|","")</f>
        <v>|</v>
      </c>
      <c r="M13" s="102"/>
      <c r="N13" s="14"/>
      <c r="O13" s="56">
        <f>IF(L17=0,C64,C61)</f>
        <v>1575</v>
      </c>
      <c r="P13" s="18"/>
      <c r="Q13" s="383"/>
      <c r="R13" s="399"/>
      <c r="S13" s="383"/>
      <c r="T13" s="383"/>
      <c r="U13" s="383"/>
      <c r="V13" s="383"/>
      <c r="W13" s="383"/>
      <c r="X13" s="383"/>
      <c r="Y13" s="383"/>
      <c r="Z13" s="18"/>
      <c r="AA13" s="108">
        <v>1</v>
      </c>
      <c r="AB13" s="507">
        <f>PNoise!N15</f>
        <v>-69.022453546290194</v>
      </c>
      <c r="AC13" s="61"/>
      <c r="AD13" s="407"/>
      <c r="AE13" s="386"/>
      <c r="AF13" s="386"/>
      <c r="AG13" s="401"/>
    </row>
    <row r="14" spans="1:33" ht="15" customHeight="1">
      <c r="A14" s="67"/>
      <c r="B14" s="35"/>
      <c r="C14" s="102"/>
      <c r="D14" s="102"/>
      <c r="F14" s="102"/>
      <c r="G14" s="41"/>
      <c r="H14" s="132"/>
      <c r="I14" s="42"/>
      <c r="J14" s="108" t="s">
        <v>52</v>
      </c>
      <c r="K14" s="79" t="str">
        <f t="shared" si="0"/>
        <v/>
      </c>
      <c r="L14" s="378" t="str">
        <f t="shared" si="1"/>
        <v>|</v>
      </c>
      <c r="M14" s="102"/>
      <c r="N14" s="14"/>
      <c r="O14" s="78">
        <f>IF(L17=1,G12*(G17+1/H17)/L10,G12*(G17+1/H17))</f>
        <v>1574.3972498168496</v>
      </c>
      <c r="P14" s="60"/>
      <c r="Q14" s="392"/>
      <c r="R14" s="399"/>
      <c r="S14" s="383"/>
      <c r="T14" s="383"/>
      <c r="U14" s="383"/>
      <c r="V14" s="383"/>
      <c r="W14" s="383"/>
      <c r="X14" s="383"/>
      <c r="Y14" s="383"/>
      <c r="Z14" s="18"/>
      <c r="AA14" s="500">
        <v>5</v>
      </c>
      <c r="AB14" s="507">
        <f>PNoise!E64</f>
        <v>-68.746254953511567</v>
      </c>
      <c r="AC14" s="61"/>
      <c r="AD14" s="407"/>
      <c r="AE14" s="386"/>
      <c r="AF14" s="386"/>
      <c r="AG14" s="401"/>
    </row>
    <row r="15" spans="1:33" ht="15" customHeight="1">
      <c r="A15" s="62" t="s">
        <v>53</v>
      </c>
      <c r="B15" s="35"/>
      <c r="F15" s="102"/>
      <c r="G15" s="139"/>
      <c r="H15" s="64" t="s">
        <v>54</v>
      </c>
      <c r="I15" s="379">
        <f>IF(L17=1,J15,J15*L12)</f>
        <v>1539.5894428152494</v>
      </c>
      <c r="J15" s="502">
        <f>IF(L17=1,J12/G12,J12/G12/L12)</f>
        <v>1539.5894428152494</v>
      </c>
      <c r="K15" s="434">
        <f>IF(ROUND(MOD($J$15,1),2)&lt;&gt;0,1,0)</f>
        <v>1</v>
      </c>
      <c r="L15" s="139"/>
      <c r="M15" s="102"/>
      <c r="P15" s="60"/>
      <c r="Q15" s="392"/>
      <c r="R15" s="399"/>
      <c r="S15" s="383"/>
      <c r="T15" s="383"/>
      <c r="U15" s="383"/>
      <c r="V15" s="383"/>
      <c r="W15" s="383"/>
      <c r="X15" s="383"/>
      <c r="Y15" s="383"/>
      <c r="Z15" s="18"/>
      <c r="AA15" s="108">
        <v>10</v>
      </c>
      <c r="AB15" s="507">
        <f>PNoise!N17</f>
        <v>-68.238044661779341</v>
      </c>
      <c r="AC15" s="61"/>
      <c r="AD15" s="407"/>
      <c r="AE15" s="386"/>
      <c r="AF15" s="386"/>
      <c r="AG15" s="401"/>
    </row>
    <row r="16" spans="1:33" ht="15" customHeight="1">
      <c r="A16" s="67" t="s">
        <v>55</v>
      </c>
      <c r="B16" s="35"/>
      <c r="F16" s="102"/>
      <c r="G16" s="72" t="str">
        <f>CONCATENATE("N  ",'limit check '!E10)</f>
        <v xml:space="preserve">N  </v>
      </c>
      <c r="H16" s="72" t="s">
        <v>56</v>
      </c>
      <c r="I16" s="72" t="s">
        <v>57</v>
      </c>
      <c r="J16" s="68" t="s">
        <v>39</v>
      </c>
      <c r="K16" s="69" t="s">
        <v>58</v>
      </c>
      <c r="L16" s="35" t="s">
        <v>59</v>
      </c>
      <c r="M16" s="35" t="s">
        <v>60</v>
      </c>
      <c r="N16" s="102"/>
      <c r="O16" s="102"/>
      <c r="P16" s="18"/>
      <c r="Q16" s="383"/>
      <c r="R16" s="399"/>
      <c r="S16" s="383"/>
      <c r="T16" s="383"/>
      <c r="U16" s="383"/>
      <c r="V16" s="383"/>
      <c r="W16" s="383"/>
      <c r="X16" s="383"/>
      <c r="Y16" s="383"/>
      <c r="Z16" s="18"/>
      <c r="AA16" s="500">
        <v>50</v>
      </c>
      <c r="AB16" s="507">
        <f>PNoise!E66</f>
        <v>-67.887580773470134</v>
      </c>
      <c r="AC16" s="61"/>
      <c r="AD16" s="407"/>
      <c r="AE16" s="386"/>
      <c r="AF16" s="386"/>
      <c r="AG16" s="401"/>
    </row>
    <row r="17" spans="1:33" ht="15" customHeight="1">
      <c r="A17" s="70">
        <v>1</v>
      </c>
      <c r="B17" s="35"/>
      <c r="F17" s="102"/>
      <c r="G17" s="72">
        <f>ROUND(J15-0.5,0)</f>
        <v>1539</v>
      </c>
      <c r="H17" s="435">
        <f>IF(B65=1,J17,IF(L17=1,C60,C63))</f>
        <v>4095</v>
      </c>
      <c r="I17" s="71">
        <f>(J15-G17)*H17</f>
        <v>2413.7683284463455</v>
      </c>
      <c r="J17" s="35">
        <v>125</v>
      </c>
      <c r="K17" s="35"/>
      <c r="L17" s="72">
        <v>0</v>
      </c>
      <c r="M17" s="72">
        <v>1</v>
      </c>
      <c r="N17" s="102"/>
      <c r="O17" s="102"/>
      <c r="P17" s="18"/>
      <c r="Q17" s="383"/>
      <c r="R17" s="399"/>
      <c r="S17" s="383"/>
      <c r="T17" s="383"/>
      <c r="U17" s="383"/>
      <c r="V17" s="383"/>
      <c r="W17" s="383"/>
      <c r="X17" s="383"/>
      <c r="Y17" s="383"/>
      <c r="Z17" s="18"/>
      <c r="AA17" s="108">
        <v>100</v>
      </c>
      <c r="AB17" s="507">
        <f>PNoise!N21</f>
        <v>-67.580223656441746</v>
      </c>
      <c r="AC17" s="61"/>
      <c r="AD17" s="407"/>
      <c r="AE17" s="386"/>
      <c r="AF17" s="386"/>
      <c r="AG17" s="401"/>
    </row>
    <row r="18" spans="1:33" ht="15" customHeight="1">
      <c r="A18" s="41"/>
      <c r="B18" s="132"/>
      <c r="C18" s="132"/>
      <c r="D18" s="132"/>
      <c r="E18" s="132"/>
      <c r="F18" s="132"/>
      <c r="G18" s="73" t="s">
        <v>61</v>
      </c>
      <c r="H18" s="73">
        <f>IF(I17=0,H17,H17/(GCD(H17:I17)))</f>
        <v>4095</v>
      </c>
      <c r="I18" s="74">
        <f>IF(I17=0,0,I17/(GCD(H17:I17)))</f>
        <v>2413.7683284463455</v>
      </c>
      <c r="J18" s="132"/>
      <c r="K18" s="132"/>
      <c r="L18" s="132"/>
      <c r="M18" s="132"/>
      <c r="N18" s="132"/>
      <c r="O18" s="132"/>
      <c r="P18" s="42"/>
      <c r="Q18" s="383"/>
      <c r="R18" s="399"/>
      <c r="S18" s="383"/>
      <c r="T18" s="383"/>
      <c r="U18" s="383"/>
      <c r="V18" s="383"/>
      <c r="W18" s="383"/>
      <c r="X18" s="383"/>
      <c r="Y18" s="383"/>
      <c r="Z18" s="18"/>
      <c r="AA18" s="500">
        <v>800</v>
      </c>
      <c r="AB18" s="507">
        <f>PNoise!E70</f>
        <v>-96.869698679196119</v>
      </c>
      <c r="AC18" s="79"/>
      <c r="AD18" s="407"/>
      <c r="AE18" s="383"/>
      <c r="AF18" s="386"/>
      <c r="AG18" s="401"/>
    </row>
    <row r="19" spans="1:33" ht="15" customHeight="1">
      <c r="A19" s="380"/>
      <c r="B19" s="380"/>
      <c r="F19" s="102"/>
      <c r="J19" s="381"/>
      <c r="K19" s="102"/>
      <c r="L19" s="102"/>
      <c r="M19" s="102"/>
      <c r="N19" s="102"/>
      <c r="O19" s="102"/>
      <c r="P19" s="102"/>
      <c r="Q19" s="102"/>
      <c r="R19" s="399"/>
      <c r="S19" s="383"/>
      <c r="T19" s="383"/>
      <c r="U19" s="383"/>
      <c r="V19" s="383"/>
      <c r="W19" s="383"/>
      <c r="X19" s="383"/>
      <c r="Y19" s="383"/>
      <c r="Z19" s="18"/>
      <c r="AA19" s="108">
        <v>1000</v>
      </c>
      <c r="AB19" s="507">
        <f>PNoise!N24</f>
        <v>-106.31930942017914</v>
      </c>
      <c r="AC19" s="79"/>
      <c r="AD19" s="407"/>
      <c r="AE19" s="383"/>
      <c r="AF19" s="386"/>
      <c r="AG19" s="401"/>
    </row>
    <row r="20" spans="1:33" ht="15" customHeight="1" thickBot="1">
      <c r="F20" s="102"/>
      <c r="K20" s="102"/>
      <c r="L20" s="102"/>
      <c r="M20" s="102"/>
      <c r="N20" s="102"/>
      <c r="O20" s="102"/>
      <c r="P20" s="102"/>
      <c r="Q20" s="102"/>
      <c r="R20" s="399"/>
      <c r="S20" s="383"/>
      <c r="T20" s="383"/>
      <c r="U20" s="383"/>
      <c r="V20" s="383"/>
      <c r="W20" s="383"/>
      <c r="X20" s="383"/>
      <c r="Y20" s="383"/>
      <c r="Z20" s="18"/>
      <c r="AA20" s="500">
        <v>5000</v>
      </c>
      <c r="AB20" s="507">
        <f>PNoise!E73</f>
        <v>-112.38626694911964</v>
      </c>
      <c r="AC20" s="79"/>
      <c r="AD20" s="407"/>
      <c r="AE20" s="383"/>
      <c r="AF20" s="386"/>
      <c r="AG20" s="401"/>
    </row>
    <row r="21" spans="1:33" ht="15" customHeight="1">
      <c r="A21" s="418"/>
      <c r="B21" s="419"/>
      <c r="C21" s="420"/>
      <c r="D21" s="421"/>
      <c r="E21" s="421"/>
      <c r="F21" s="419"/>
      <c r="G21" s="419"/>
      <c r="H21" s="422"/>
      <c r="I21" s="419"/>
      <c r="J21" s="419"/>
      <c r="K21" s="419"/>
      <c r="L21" s="419"/>
      <c r="M21" s="419"/>
      <c r="N21" s="419"/>
      <c r="O21" s="419"/>
      <c r="P21" s="423"/>
      <c r="Q21" s="383"/>
      <c r="R21" s="399"/>
      <c r="S21" s="383"/>
      <c r="T21" s="383"/>
      <c r="U21" s="383"/>
      <c r="V21" s="383"/>
      <c r="W21" s="383"/>
      <c r="X21" s="383"/>
      <c r="Y21" s="383"/>
      <c r="Z21" s="383"/>
      <c r="AA21" s="383"/>
      <c r="AB21" s="383"/>
      <c r="AC21" s="408"/>
      <c r="AD21" s="386"/>
      <c r="AE21" s="386"/>
      <c r="AF21" s="386"/>
      <c r="AG21" s="401"/>
    </row>
    <row r="22" spans="1:33" ht="15" customHeight="1">
      <c r="A22" s="424" t="s">
        <v>62</v>
      </c>
      <c r="B22" s="383"/>
      <c r="C22" s="383"/>
      <c r="D22" s="383"/>
      <c r="E22" s="383"/>
      <c r="F22" s="383"/>
      <c r="G22" s="386"/>
      <c r="H22" s="386"/>
      <c r="I22" s="414" t="s">
        <v>63</v>
      </c>
      <c r="J22" s="415"/>
      <c r="K22" s="415"/>
      <c r="L22" s="415"/>
      <c r="M22" s="415"/>
      <c r="N22" s="415"/>
      <c r="O22" s="383"/>
      <c r="P22" s="425"/>
      <c r="Q22" s="383"/>
      <c r="R22" s="399"/>
      <c r="S22" s="383"/>
      <c r="T22" s="383"/>
      <c r="U22" s="383"/>
      <c r="V22" s="383"/>
      <c r="W22" s="383"/>
      <c r="X22" s="383"/>
      <c r="Y22" s="383"/>
      <c r="Z22" s="383"/>
      <c r="AA22" s="383"/>
      <c r="AB22" s="383"/>
      <c r="AC22" s="383"/>
      <c r="AD22" s="383"/>
      <c r="AE22" s="383"/>
      <c r="AF22" s="386"/>
      <c r="AG22" s="401"/>
    </row>
    <row r="23" spans="1:33" ht="15" customHeight="1">
      <c r="A23" s="426" t="s">
        <v>64</v>
      </c>
      <c r="B23" s="383">
        <v>0.1</v>
      </c>
      <c r="C23" s="383">
        <v>1</v>
      </c>
      <c r="D23" s="383">
        <v>10</v>
      </c>
      <c r="E23" s="383">
        <v>100</v>
      </c>
      <c r="F23" s="383">
        <v>1000</v>
      </c>
      <c r="G23" s="386"/>
      <c r="H23" s="386"/>
      <c r="I23" s="383" t="s">
        <v>65</v>
      </c>
      <c r="J23" s="383" t="s">
        <v>7</v>
      </c>
      <c r="K23" s="383" t="s">
        <v>8</v>
      </c>
      <c r="L23" s="383" t="s">
        <v>9</v>
      </c>
      <c r="M23" s="416" t="s">
        <v>10</v>
      </c>
      <c r="N23" s="416" t="s">
        <v>11</v>
      </c>
      <c r="O23" s="389" t="s">
        <v>66</v>
      </c>
      <c r="P23" s="429"/>
      <c r="Q23" s="383"/>
      <c r="R23" s="399"/>
      <c r="S23" s="383"/>
      <c r="T23" s="383"/>
      <c r="U23" s="383"/>
      <c r="V23" s="383"/>
      <c r="W23" s="383"/>
      <c r="X23" s="383"/>
      <c r="Y23" s="383"/>
      <c r="Z23" s="383"/>
      <c r="AA23" s="383"/>
      <c r="AB23" s="383"/>
      <c r="AC23" s="408"/>
      <c r="AD23" s="383"/>
      <c r="AE23" s="408"/>
      <c r="AF23" s="386"/>
      <c r="AG23" s="401"/>
    </row>
    <row r="24" spans="1:33" ht="15" customHeight="1">
      <c r="A24" s="427" t="s">
        <v>67</v>
      </c>
      <c r="B24" s="493">
        <v>-130</v>
      </c>
      <c r="C24" s="493">
        <v>-131</v>
      </c>
      <c r="D24" s="493">
        <v>-133</v>
      </c>
      <c r="E24" s="493">
        <v>-136</v>
      </c>
      <c r="F24" s="493">
        <v>-144</v>
      </c>
      <c r="G24" s="386"/>
      <c r="H24" s="386"/>
      <c r="I24" s="387" t="s">
        <v>21</v>
      </c>
      <c r="J24" s="494">
        <v>5.6000000000000001E-2</v>
      </c>
      <c r="K24" s="495">
        <v>18</v>
      </c>
      <c r="L24" s="494">
        <v>0.68</v>
      </c>
      <c r="M24" s="417">
        <v>3</v>
      </c>
      <c r="N24" s="417">
        <v>3.1000000000000003E-2</v>
      </c>
      <c r="O24" s="449" t="s">
        <v>622</v>
      </c>
      <c r="P24" s="450"/>
      <c r="Q24" s="383"/>
      <c r="R24" s="399"/>
      <c r="S24" s="383"/>
      <c r="T24" s="383"/>
      <c r="U24" s="383"/>
      <c r="V24" s="383"/>
      <c r="W24" s="383"/>
      <c r="X24" s="383"/>
      <c r="Y24" s="383"/>
      <c r="Z24" s="383"/>
      <c r="AA24" s="383"/>
      <c r="AB24" s="383"/>
      <c r="AC24" s="408"/>
      <c r="AD24" s="383"/>
      <c r="AE24" s="408"/>
      <c r="AF24" s="386"/>
      <c r="AG24" s="401"/>
    </row>
    <row r="25" spans="1:33" ht="15" customHeight="1">
      <c r="A25" s="427" t="s">
        <v>68</v>
      </c>
      <c r="B25" s="493">
        <v>-100</v>
      </c>
      <c r="C25" s="493">
        <v>-129</v>
      </c>
      <c r="D25" s="493">
        <v>-142</v>
      </c>
      <c r="E25" s="493">
        <v>-147</v>
      </c>
      <c r="F25" s="493">
        <v>-154</v>
      </c>
      <c r="G25" s="386"/>
      <c r="H25" s="386"/>
      <c r="I25" s="387" t="s">
        <v>69</v>
      </c>
      <c r="J25" s="494">
        <v>0.18</v>
      </c>
      <c r="K25" s="495">
        <v>9.1</v>
      </c>
      <c r="L25" s="494">
        <v>2.2000000000000002</v>
      </c>
      <c r="M25" s="417">
        <v>3</v>
      </c>
      <c r="N25" s="417">
        <v>3.1000000000000003E-2</v>
      </c>
      <c r="O25" s="449" t="s">
        <v>623</v>
      </c>
      <c r="P25" s="450"/>
      <c r="Q25" s="383"/>
      <c r="R25" s="399"/>
      <c r="S25" s="383"/>
      <c r="T25" s="383"/>
      <c r="U25" s="383"/>
      <c r="V25" s="383"/>
      <c r="W25" s="383"/>
      <c r="X25" s="383"/>
      <c r="Y25" s="383"/>
      <c r="Z25" s="383"/>
      <c r="AA25" s="383"/>
      <c r="AB25" s="383"/>
      <c r="AC25" s="408"/>
      <c r="AD25" s="383"/>
      <c r="AE25" s="408"/>
      <c r="AF25" s="386"/>
      <c r="AG25" s="401"/>
    </row>
    <row r="26" spans="1:33" ht="15" customHeight="1">
      <c r="A26" s="427" t="s">
        <v>40</v>
      </c>
      <c r="B26" s="493">
        <v>-300</v>
      </c>
      <c r="C26" s="493">
        <v>-300</v>
      </c>
      <c r="D26" s="493">
        <v>-300</v>
      </c>
      <c r="E26" s="493">
        <v>-300</v>
      </c>
      <c r="F26" s="493">
        <v>-300</v>
      </c>
      <c r="G26" s="386"/>
      <c r="H26" s="386"/>
      <c r="I26" s="387" t="s">
        <v>70</v>
      </c>
      <c r="J26" s="496">
        <v>1.5</v>
      </c>
      <c r="K26" s="497">
        <v>3.3</v>
      </c>
      <c r="L26" s="496">
        <v>18</v>
      </c>
      <c r="M26" s="417">
        <v>3</v>
      </c>
      <c r="N26" s="417">
        <v>3.1000000000000003E-2</v>
      </c>
      <c r="O26" s="449" t="s">
        <v>624</v>
      </c>
      <c r="P26" s="450"/>
      <c r="Q26" s="383"/>
      <c r="R26" s="399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408"/>
      <c r="AD26" s="383"/>
      <c r="AE26" s="408"/>
      <c r="AF26" s="386"/>
      <c r="AG26" s="401"/>
    </row>
    <row r="27" spans="1:33" ht="15" customHeight="1">
      <c r="A27" s="399"/>
      <c r="B27" s="386"/>
      <c r="C27" s="386"/>
      <c r="D27" s="386"/>
      <c r="E27" s="386"/>
      <c r="F27" s="386"/>
      <c r="G27" s="386"/>
      <c r="H27" s="386"/>
      <c r="I27" s="387" t="s">
        <v>618</v>
      </c>
      <c r="J27" s="496">
        <v>1.4999999999999999E-2</v>
      </c>
      <c r="K27" s="497">
        <v>15</v>
      </c>
      <c r="L27" s="496">
        <v>0.75</v>
      </c>
      <c r="M27" s="417">
        <v>3</v>
      </c>
      <c r="N27" s="417">
        <v>3.1000000000000003E-2</v>
      </c>
      <c r="O27" s="449" t="s">
        <v>625</v>
      </c>
      <c r="P27" s="450"/>
      <c r="Q27" s="383"/>
      <c r="R27" s="399"/>
      <c r="S27" s="383"/>
      <c r="T27" s="383"/>
      <c r="U27" s="383"/>
      <c r="V27" s="383"/>
      <c r="W27" s="383"/>
      <c r="X27" s="383"/>
      <c r="Y27" s="383"/>
      <c r="Z27" s="383"/>
      <c r="AA27" s="383"/>
      <c r="AB27" s="383"/>
      <c r="AC27" s="408"/>
      <c r="AD27" s="383"/>
      <c r="AE27" s="383"/>
      <c r="AF27" s="386"/>
      <c r="AG27" s="401"/>
    </row>
    <row r="28" spans="1:33" ht="15" customHeight="1">
      <c r="A28" s="399"/>
      <c r="B28" s="386"/>
      <c r="C28" s="386"/>
      <c r="D28" s="386"/>
      <c r="E28" s="386"/>
      <c r="F28" s="386"/>
      <c r="G28" s="386"/>
      <c r="H28" s="386"/>
      <c r="I28" s="385"/>
      <c r="J28" s="407"/>
      <c r="K28" s="407"/>
      <c r="L28" s="407"/>
      <c r="M28" s="407"/>
      <c r="N28" s="407"/>
      <c r="O28" s="383"/>
      <c r="P28" s="425"/>
      <c r="Q28" s="383"/>
      <c r="R28" s="399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6"/>
      <c r="AE28" s="386"/>
      <c r="AF28" s="386"/>
      <c r="AG28" s="401"/>
    </row>
    <row r="29" spans="1:33" ht="15" customHeight="1">
      <c r="A29" s="399"/>
      <c r="B29" s="386"/>
      <c r="C29" s="386"/>
      <c r="D29" s="386"/>
      <c r="E29" s="386"/>
      <c r="F29" s="386"/>
      <c r="G29" s="386"/>
      <c r="H29" s="386"/>
      <c r="I29" s="385"/>
      <c r="J29" s="407"/>
      <c r="K29" s="407"/>
      <c r="L29" s="407"/>
      <c r="M29" s="407"/>
      <c r="N29" s="407"/>
      <c r="O29" s="383"/>
      <c r="P29" s="425"/>
      <c r="Q29" s="383"/>
      <c r="R29" s="399"/>
      <c r="S29" s="383"/>
      <c r="T29" s="383"/>
      <c r="U29" s="383"/>
      <c r="V29" s="383"/>
      <c r="W29" s="383"/>
      <c r="X29" s="383"/>
      <c r="Y29" s="383"/>
      <c r="Z29" s="383"/>
      <c r="AA29" s="391" t="s">
        <v>71</v>
      </c>
      <c r="AB29" s="409" t="b">
        <f>OR(AB30:AB33)</f>
        <v>0</v>
      </c>
      <c r="AC29" s="383"/>
      <c r="AD29" s="383"/>
      <c r="AE29" s="386"/>
      <c r="AF29" s="386"/>
      <c r="AG29" s="401"/>
    </row>
    <row r="30" spans="1:33">
      <c r="A30" s="399"/>
      <c r="B30" s="386"/>
      <c r="C30" s="386"/>
      <c r="D30" s="386"/>
      <c r="E30" s="386"/>
      <c r="F30" s="386"/>
      <c r="G30" s="386"/>
      <c r="H30" s="386"/>
      <c r="I30" s="385"/>
      <c r="J30" s="407"/>
      <c r="K30" s="407"/>
      <c r="L30" s="407"/>
      <c r="M30" s="407"/>
      <c r="N30" s="407"/>
      <c r="O30" s="383"/>
      <c r="P30" s="425"/>
      <c r="Q30" s="383"/>
      <c r="R30" s="399"/>
      <c r="S30" s="383"/>
      <c r="T30" s="383"/>
      <c r="U30" s="383"/>
      <c r="V30" s="383"/>
      <c r="W30" s="383"/>
      <c r="X30" s="383"/>
      <c r="Y30" s="383"/>
      <c r="Z30" s="383"/>
      <c r="AA30" s="391" t="s">
        <v>72</v>
      </c>
      <c r="AB30" s="391">
        <v>0</v>
      </c>
      <c r="AC30" s="383"/>
      <c r="AD30" s="383"/>
      <c r="AE30" s="386"/>
      <c r="AF30" s="386"/>
      <c r="AG30" s="401"/>
    </row>
    <row r="31" spans="1:33">
      <c r="A31" s="399"/>
      <c r="B31" s="386"/>
      <c r="C31" s="386"/>
      <c r="D31" s="386"/>
      <c r="E31" s="386"/>
      <c r="F31" s="386"/>
      <c r="G31" s="386"/>
      <c r="H31" s="386"/>
      <c r="I31" s="385"/>
      <c r="J31" s="407"/>
      <c r="K31" s="407"/>
      <c r="L31" s="407"/>
      <c r="M31" s="407"/>
      <c r="N31" s="407"/>
      <c r="O31" s="383"/>
      <c r="P31" s="425"/>
      <c r="Q31" s="383"/>
      <c r="R31" s="399"/>
      <c r="S31" s="383"/>
      <c r="T31" s="383"/>
      <c r="U31" s="383"/>
      <c r="V31" s="383"/>
      <c r="W31" s="383"/>
      <c r="X31" s="383"/>
      <c r="Y31" s="383"/>
      <c r="Z31" s="383"/>
      <c r="AA31" s="391" t="s">
        <v>73</v>
      </c>
      <c r="AB31" s="391">
        <v>0</v>
      </c>
      <c r="AC31" s="383"/>
      <c r="AD31" s="383"/>
      <c r="AE31" s="386"/>
      <c r="AF31" s="386"/>
      <c r="AG31" s="401"/>
    </row>
    <row r="32" spans="1:33">
      <c r="A32" s="399"/>
      <c r="B32" s="386"/>
      <c r="C32" s="386"/>
      <c r="D32" s="386"/>
      <c r="E32" s="383"/>
      <c r="F32" s="383"/>
      <c r="G32" s="386"/>
      <c r="H32" s="386"/>
      <c r="I32" s="386"/>
      <c r="J32" s="386"/>
      <c r="K32" s="386"/>
      <c r="L32" s="383"/>
      <c r="M32" s="383"/>
      <c r="N32" s="383"/>
      <c r="O32" s="383"/>
      <c r="P32" s="425"/>
      <c r="Q32" s="383"/>
      <c r="R32" s="399"/>
      <c r="S32" s="383"/>
      <c r="T32" s="383"/>
      <c r="U32" s="383"/>
      <c r="V32" s="383"/>
      <c r="W32" s="383"/>
      <c r="X32" s="383"/>
      <c r="Y32" s="383"/>
      <c r="Z32" s="383"/>
      <c r="AA32" s="391" t="s">
        <v>74</v>
      </c>
      <c r="AB32" s="391">
        <v>0</v>
      </c>
      <c r="AC32" s="383"/>
      <c r="AD32" s="383"/>
      <c r="AE32" s="386"/>
      <c r="AF32" s="386"/>
      <c r="AG32" s="401"/>
    </row>
    <row r="33" spans="1:33">
      <c r="A33" s="399"/>
      <c r="B33" s="383"/>
      <c r="C33" s="383"/>
      <c r="D33" s="383"/>
      <c r="E33" s="383"/>
      <c r="F33" s="383"/>
      <c r="G33" s="383"/>
      <c r="H33" s="386"/>
      <c r="I33" s="386"/>
      <c r="J33" s="386"/>
      <c r="K33" s="386"/>
      <c r="L33" s="386"/>
      <c r="M33" s="386"/>
      <c r="N33" s="386"/>
      <c r="O33" s="383"/>
      <c r="P33" s="425"/>
      <c r="Q33" s="383"/>
      <c r="R33" s="399"/>
      <c r="S33" s="383"/>
      <c r="T33" s="383"/>
      <c r="U33" s="383"/>
      <c r="V33" s="383"/>
      <c r="W33" s="383"/>
      <c r="X33" s="383"/>
      <c r="Y33" s="383"/>
      <c r="Z33" s="383"/>
      <c r="AA33" s="391" t="s">
        <v>75</v>
      </c>
      <c r="AB33" s="391">
        <v>0</v>
      </c>
      <c r="AC33" s="383"/>
      <c r="AD33" s="383"/>
      <c r="AE33" s="386"/>
      <c r="AF33" s="386"/>
      <c r="AG33" s="401"/>
    </row>
    <row r="34" spans="1:33" ht="13.5" thickBot="1">
      <c r="A34" s="410"/>
      <c r="B34" s="412"/>
      <c r="C34" s="412"/>
      <c r="D34" s="411"/>
      <c r="E34" s="411"/>
      <c r="F34" s="411"/>
      <c r="G34" s="411"/>
      <c r="H34" s="412"/>
      <c r="I34" s="412"/>
      <c r="J34" s="412"/>
      <c r="K34" s="412"/>
      <c r="L34" s="412"/>
      <c r="M34" s="412"/>
      <c r="N34" s="412"/>
      <c r="O34" s="411"/>
      <c r="P34" s="428"/>
      <c r="Q34" s="383"/>
      <c r="R34" s="410"/>
      <c r="S34" s="411"/>
      <c r="T34" s="411"/>
      <c r="U34" s="411"/>
      <c r="V34" s="411"/>
      <c r="W34" s="411"/>
      <c r="X34" s="411"/>
      <c r="Y34" s="411"/>
      <c r="Z34" s="411"/>
      <c r="AA34" s="412"/>
      <c r="AB34" s="412"/>
      <c r="AC34" s="411"/>
      <c r="AD34" s="412"/>
      <c r="AE34" s="412"/>
      <c r="AF34" s="412"/>
      <c r="AG34" s="413"/>
    </row>
    <row r="35" spans="1:33">
      <c r="A35" s="383"/>
      <c r="B35" s="383"/>
      <c r="C35" s="383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3"/>
      <c r="P35" s="383"/>
      <c r="Q35" s="383"/>
      <c r="R35" s="102"/>
      <c r="S35" s="102"/>
      <c r="T35" s="102"/>
      <c r="U35" s="102"/>
      <c r="V35" s="102"/>
      <c r="W35" s="102"/>
      <c r="X35" s="102"/>
      <c r="Y35" s="102"/>
      <c r="Z35" s="102"/>
      <c r="AC35" s="102"/>
    </row>
    <row r="36" spans="1:33" ht="12.75" customHeight="1">
      <c r="D36" s="102"/>
      <c r="E36" s="102"/>
      <c r="F36" s="102"/>
      <c r="G36" s="102"/>
      <c r="N36" s="102"/>
      <c r="O36" s="102"/>
      <c r="P36" s="102"/>
      <c r="Q36" s="102"/>
      <c r="S36" s="102"/>
      <c r="T36" s="102"/>
      <c r="U36" s="102"/>
      <c r="V36" s="102"/>
      <c r="W36" s="102"/>
      <c r="X36" s="102"/>
      <c r="Y36" s="102"/>
      <c r="Z36" s="102"/>
      <c r="AC36" s="102"/>
    </row>
    <row r="37" spans="1:33" ht="13.5" customHeight="1">
      <c r="D37" s="102"/>
      <c r="E37" s="102"/>
      <c r="F37" s="80"/>
      <c r="G37" s="80"/>
      <c r="H37" s="80"/>
      <c r="N37" s="80"/>
      <c r="O37" s="80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</row>
    <row r="38" spans="1:33">
      <c r="G38" s="80"/>
      <c r="H38" s="80"/>
    </row>
    <row r="39" spans="1:33" ht="13.5" customHeight="1">
      <c r="G39" s="80"/>
      <c r="H39" s="80"/>
      <c r="T39" s="102"/>
    </row>
    <row r="40" spans="1:33">
      <c r="G40" s="80"/>
      <c r="H40" s="80"/>
      <c r="T40" s="102"/>
    </row>
    <row r="41" spans="1:33">
      <c r="T41" s="102"/>
    </row>
    <row r="42" spans="1:33">
      <c r="T42" s="102"/>
    </row>
    <row r="43" spans="1:33">
      <c r="T43" s="102"/>
    </row>
    <row r="44" spans="1:33">
      <c r="T44" s="102"/>
    </row>
    <row r="45" spans="1:33">
      <c r="T45" s="102"/>
    </row>
    <row r="46" spans="1:33" ht="15" customHeight="1">
      <c r="T46" s="102"/>
    </row>
    <row r="47" spans="1:33" hidden="1">
      <c r="T47" s="102"/>
    </row>
    <row r="48" spans="1:33" hidden="1">
      <c r="T48" s="102"/>
    </row>
    <row r="49" spans="1:29" hidden="1">
      <c r="T49" s="102"/>
      <c r="U49" s="102"/>
      <c r="V49" s="102"/>
      <c r="W49" s="213"/>
      <c r="X49" s="213"/>
      <c r="Y49" s="213"/>
      <c r="Z49" s="213"/>
      <c r="AA49" s="213"/>
      <c r="AB49" s="102"/>
      <c r="AC49" s="102"/>
    </row>
    <row r="50" spans="1:29" ht="13.5" hidden="1">
      <c r="A50" s="446" t="s">
        <v>76</v>
      </c>
      <c r="B50" s="447"/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8"/>
      <c r="T50" s="102"/>
      <c r="U50" s="102"/>
      <c r="V50" s="102"/>
      <c r="W50" s="213"/>
      <c r="X50" s="213"/>
      <c r="Y50" s="213"/>
      <c r="Z50" s="213"/>
      <c r="AA50" s="213"/>
      <c r="AB50" s="102"/>
      <c r="AC50" s="102"/>
    </row>
    <row r="51" spans="1:29" hidden="1">
      <c r="A51" s="79"/>
      <c r="G51" s="80"/>
      <c r="H51" s="80"/>
      <c r="O51" s="18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</row>
    <row r="52" spans="1:29" hidden="1">
      <c r="A52" s="79"/>
      <c r="G52" s="80"/>
      <c r="H52" s="102"/>
      <c r="I52" s="102"/>
      <c r="J52" s="102" t="s">
        <v>77</v>
      </c>
      <c r="O52" s="18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</row>
    <row r="53" spans="1:29" hidden="1">
      <c r="A53" s="79" t="s">
        <v>78</v>
      </c>
      <c r="B53" s="102" t="s">
        <v>79</v>
      </c>
      <c r="C53" s="102" t="s">
        <v>80</v>
      </c>
      <c r="G53" s="80"/>
      <c r="H53" s="132"/>
      <c r="I53" s="132" t="s">
        <v>81</v>
      </c>
      <c r="J53" s="132" t="s">
        <v>82</v>
      </c>
      <c r="O53" s="18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</row>
    <row r="54" spans="1:29" hidden="1">
      <c r="A54" s="79" t="s">
        <v>83</v>
      </c>
      <c r="B54" s="382">
        <f>IF(1000*G12/B55&gt;1023,1023,1000*G12/B55)</f>
        <v>20.459999999999997</v>
      </c>
      <c r="C54" s="102" t="str">
        <f>DEC2HEX(B54)</f>
        <v>14</v>
      </c>
      <c r="D54" s="102"/>
      <c r="E54" s="102"/>
      <c r="F54" s="80"/>
      <c r="G54" s="102"/>
      <c r="H54" s="83" t="s">
        <v>84</v>
      </c>
      <c r="I54" s="83" t="s">
        <v>85</v>
      </c>
      <c r="J54" s="84">
        <v>-40</v>
      </c>
      <c r="O54" s="18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</row>
    <row r="55" spans="1:29" hidden="1">
      <c r="A55" s="79" t="s">
        <v>86</v>
      </c>
      <c r="B55" s="17">
        <v>50</v>
      </c>
      <c r="C55" s="102"/>
      <c r="D55" s="102"/>
      <c r="E55" s="102"/>
      <c r="F55" s="80"/>
      <c r="H55" s="83" t="s">
        <v>87</v>
      </c>
      <c r="I55" s="85">
        <f>PNoise!P21</f>
        <v>-5.0252408328323188</v>
      </c>
      <c r="J55" s="85">
        <f t="shared" ref="J55:J57" si="2">J$54+I55</f>
        <v>-45.025240832832317</v>
      </c>
      <c r="O55" s="18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</row>
    <row r="56" spans="1:29" hidden="1">
      <c r="A56" s="79" t="s">
        <v>88</v>
      </c>
      <c r="B56" s="102">
        <f>1000*10/B55</f>
        <v>200</v>
      </c>
      <c r="C56" s="102"/>
      <c r="D56" s="102"/>
      <c r="E56" s="102"/>
      <c r="F56" s="80"/>
      <c r="H56" s="83" t="s">
        <v>89</v>
      </c>
      <c r="I56" s="85">
        <f>PNoise!P22</f>
        <v>-13.152618576829759</v>
      </c>
      <c r="J56" s="85">
        <f t="shared" si="2"/>
        <v>-53.152618576829759</v>
      </c>
      <c r="L56" s="83" t="s">
        <v>90</v>
      </c>
      <c r="M56" s="87" t="s">
        <v>606</v>
      </c>
      <c r="N56" s="83" t="s">
        <v>91</v>
      </c>
      <c r="O56" s="18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</row>
    <row r="57" spans="1:29" hidden="1">
      <c r="A57" s="79" t="s">
        <v>92</v>
      </c>
      <c r="B57" s="102">
        <f>3000/W5</f>
        <v>58.049186562680269</v>
      </c>
      <c r="C57" s="102"/>
      <c r="D57" s="102"/>
      <c r="E57" s="102"/>
      <c r="F57" s="80"/>
      <c r="G57" s="102"/>
      <c r="H57" s="83" t="s">
        <v>93</v>
      </c>
      <c r="I57" s="85">
        <f>PNoise!P24</f>
        <v>-39.080987895177387</v>
      </c>
      <c r="J57" s="85">
        <f t="shared" si="2"/>
        <v>-79.080987895177387</v>
      </c>
      <c r="L57" s="83" t="s">
        <v>94</v>
      </c>
      <c r="M57" s="87" t="s">
        <v>606</v>
      </c>
      <c r="N57" s="83" t="s">
        <v>91</v>
      </c>
      <c r="O57" s="18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</row>
    <row r="58" spans="1:29" hidden="1">
      <c r="A58" s="88" t="s">
        <v>95</v>
      </c>
      <c r="B58" s="102"/>
      <c r="C58" s="102"/>
      <c r="D58" s="93"/>
      <c r="E58" s="93"/>
      <c r="F58" s="92"/>
      <c r="G58" s="102"/>
      <c r="H58" s="102"/>
      <c r="O58" s="18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</row>
    <row r="59" spans="1:29" hidden="1">
      <c r="A59" s="89" t="s">
        <v>96</v>
      </c>
      <c r="B59" s="91" t="s">
        <v>97</v>
      </c>
      <c r="C59" s="91">
        <f>LCM(G12*1000000,R9*1000000)/1000000</f>
        <v>98207.903999999995</v>
      </c>
      <c r="D59" s="93"/>
      <c r="E59" s="93"/>
      <c r="F59" s="92" t="s">
        <v>98</v>
      </c>
      <c r="G59" s="102"/>
      <c r="H59" s="102"/>
      <c r="O59" s="18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</row>
    <row r="60" spans="1:29" hidden="1">
      <c r="A60" s="89" t="s">
        <v>99</v>
      </c>
      <c r="B60" s="91" t="s">
        <v>100</v>
      </c>
      <c r="C60" s="91">
        <f>IF((C59/R9)&gt;4095,4095,C59/R9)</f>
        <v>4095</v>
      </c>
      <c r="D60" s="93" t="s">
        <v>101</v>
      </c>
      <c r="E60" s="93" t="s">
        <v>102</v>
      </c>
      <c r="F60" s="93">
        <f>IF(L17=1,D61,D64)</f>
        <v>2.4981684981684979E-4</v>
      </c>
      <c r="G60" s="102"/>
      <c r="H60" s="102"/>
      <c r="O60" s="18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</row>
    <row r="61" spans="1:29" hidden="1">
      <c r="A61" s="89" t="s">
        <v>103</v>
      </c>
      <c r="B61" s="91" t="s">
        <v>104</v>
      </c>
      <c r="C61" s="91">
        <f>G12*(G17+ROUND(I17,0)/H17)/L10</f>
        <v>1575.0000578754577</v>
      </c>
      <c r="D61" s="93">
        <f>G12/H17/L12</f>
        <v>2.4981684981684979E-4</v>
      </c>
      <c r="E61" s="93"/>
      <c r="F61" s="93"/>
      <c r="G61" s="102"/>
      <c r="H61" s="444" t="s">
        <v>105</v>
      </c>
      <c r="I61" s="445"/>
      <c r="J61" s="94">
        <v>-100</v>
      </c>
      <c r="O61" s="18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</row>
    <row r="62" spans="1:29" hidden="1">
      <c r="A62" s="89" t="s">
        <v>96</v>
      </c>
      <c r="B62" s="91" t="s">
        <v>97</v>
      </c>
      <c r="C62" s="91">
        <f>LCM(G12*1000000,R9*1000000)/1000000</f>
        <v>98207.903999999995</v>
      </c>
      <c r="D62" s="93"/>
      <c r="E62" s="93"/>
      <c r="F62" s="93"/>
      <c r="G62" s="102"/>
      <c r="H62" s="102"/>
      <c r="O62" s="18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</row>
    <row r="63" spans="1:29" hidden="1">
      <c r="A63" s="89" t="s">
        <v>106</v>
      </c>
      <c r="B63" s="91" t="s">
        <v>100</v>
      </c>
      <c r="C63" s="91">
        <f>IF((L12*C62/R9)&gt;4095,4095,L12*C62/R9)</f>
        <v>4095</v>
      </c>
      <c r="D63" s="93" t="s">
        <v>101</v>
      </c>
      <c r="E63" s="93" t="s">
        <v>102</v>
      </c>
      <c r="F63" s="93"/>
      <c r="G63" s="102"/>
      <c r="H63" s="102"/>
      <c r="I63" s="102"/>
      <c r="J63" s="102"/>
      <c r="K63" s="102"/>
      <c r="L63" s="102"/>
      <c r="M63" s="102"/>
      <c r="N63" s="102"/>
      <c r="O63" s="18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</row>
    <row r="64" spans="1:29" hidden="1">
      <c r="A64" s="89" t="s">
        <v>103</v>
      </c>
      <c r="B64" s="91" t="s">
        <v>104</v>
      </c>
      <c r="C64" s="91">
        <f>G12*(G17+I17/H17)/M12</f>
        <v>1575</v>
      </c>
      <c r="D64" s="93">
        <f>(G12/H17)*L12/L12</f>
        <v>2.4981684981684979E-4</v>
      </c>
      <c r="E64" s="93"/>
      <c r="F64" s="93"/>
      <c r="G64" s="102"/>
      <c r="H64" s="102"/>
      <c r="I64" s="102"/>
      <c r="J64" s="102"/>
      <c r="K64" s="102"/>
      <c r="L64" s="102"/>
      <c r="M64" s="102"/>
      <c r="N64" s="102"/>
      <c r="O64" s="18"/>
      <c r="P64" s="102"/>
      <c r="Q64" s="102"/>
      <c r="R64" s="102"/>
      <c r="S64" s="102"/>
      <c r="T64" s="102"/>
      <c r="U64" s="102"/>
      <c r="V64" s="102"/>
      <c r="X64" s="102"/>
      <c r="Y64" s="102"/>
      <c r="Z64" s="102"/>
      <c r="AA64" s="102"/>
      <c r="AB64" s="102"/>
      <c r="AC64" s="102"/>
    </row>
    <row r="65" spans="1:29" hidden="1">
      <c r="A65" s="95" t="s">
        <v>107</v>
      </c>
      <c r="B65" s="96">
        <f>IF(J16="auto",0,1)</f>
        <v>0</v>
      </c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8"/>
      <c r="P65" s="102"/>
      <c r="Q65" s="102"/>
      <c r="R65" s="102"/>
      <c r="S65" s="102"/>
      <c r="T65" s="102"/>
      <c r="U65" s="102"/>
      <c r="V65" s="102"/>
      <c r="X65" s="102"/>
      <c r="Y65" s="102"/>
      <c r="Z65" s="102"/>
      <c r="AA65" s="102"/>
      <c r="AB65" s="102"/>
      <c r="AC65" s="102"/>
    </row>
    <row r="66" spans="1:29" hidden="1">
      <c r="A66" s="79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8"/>
      <c r="P66" s="102"/>
      <c r="Q66" s="102"/>
      <c r="R66" s="102"/>
      <c r="S66" s="102"/>
      <c r="T66" s="102"/>
      <c r="U66" s="102"/>
      <c r="V66" s="102"/>
      <c r="X66" s="102"/>
      <c r="Y66" s="102"/>
      <c r="Z66" s="102"/>
      <c r="AA66" s="102"/>
      <c r="AB66" s="102"/>
      <c r="AC66" s="102"/>
    </row>
    <row r="67" spans="1:29" hidden="1">
      <c r="A67" s="79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8"/>
      <c r="P67" s="102"/>
      <c r="Q67" s="102"/>
      <c r="R67" s="102"/>
      <c r="S67" s="102"/>
      <c r="T67" s="102"/>
      <c r="U67" s="102"/>
      <c r="V67" s="102"/>
      <c r="X67" s="102"/>
      <c r="Y67" s="102"/>
      <c r="Z67" s="102"/>
      <c r="AA67" s="102"/>
      <c r="AB67" s="102"/>
      <c r="AC67" s="102"/>
    </row>
    <row r="68" spans="1:29" hidden="1">
      <c r="A68" s="79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8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</row>
    <row r="69" spans="1:29" hidden="1">
      <c r="A69" s="79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8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</row>
    <row r="70" spans="1:29" hidden="1">
      <c r="A70" s="79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8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</row>
    <row r="71" spans="1:29" hidden="1">
      <c r="A71" s="79"/>
      <c r="G71" s="102"/>
      <c r="H71" s="102"/>
      <c r="I71" s="102"/>
      <c r="J71" s="102"/>
      <c r="K71" s="102"/>
      <c r="L71" s="102"/>
      <c r="M71" s="102"/>
      <c r="N71" s="102"/>
      <c r="O71" s="18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</row>
    <row r="72" spans="1:29" hidden="1">
      <c r="A72" s="79"/>
      <c r="G72" s="102"/>
      <c r="H72" s="102"/>
      <c r="I72" s="102"/>
      <c r="J72" s="102"/>
      <c r="K72" s="102"/>
      <c r="L72" s="102"/>
      <c r="M72" s="102"/>
      <c r="N72" s="102"/>
      <c r="O72" s="18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</row>
    <row r="73" spans="1:29" hidden="1">
      <c r="A73" s="79"/>
      <c r="G73" s="102"/>
      <c r="H73" s="102"/>
      <c r="I73" s="102"/>
      <c r="J73" s="102"/>
      <c r="K73" s="102"/>
      <c r="L73" s="102"/>
      <c r="M73" s="102"/>
      <c r="N73" s="102"/>
      <c r="O73" s="18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</row>
    <row r="74" spans="1:29" hidden="1">
      <c r="A74" s="79"/>
      <c r="G74" s="102"/>
      <c r="H74" s="102"/>
      <c r="I74" s="102"/>
      <c r="J74" s="102"/>
      <c r="K74" s="102"/>
      <c r="L74" s="102"/>
      <c r="M74" s="102"/>
      <c r="N74" s="102"/>
      <c r="O74" s="18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</row>
    <row r="75" spans="1:29" hidden="1">
      <c r="A75" s="79"/>
      <c r="G75" s="102"/>
      <c r="H75" s="102"/>
      <c r="I75" s="102"/>
      <c r="J75" s="102"/>
      <c r="K75" s="102"/>
      <c r="L75" s="102"/>
      <c r="M75" s="102"/>
      <c r="N75" s="102"/>
      <c r="O75" s="18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</row>
    <row r="76" spans="1:29" hidden="1">
      <c r="A76" s="79"/>
      <c r="G76" s="102"/>
      <c r="H76" s="102"/>
      <c r="I76" s="102"/>
      <c r="J76" s="102"/>
      <c r="K76" s="102"/>
      <c r="L76" s="102"/>
      <c r="M76" s="102"/>
      <c r="N76" s="102"/>
      <c r="O76" s="18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</row>
    <row r="77" spans="1:29" hidden="1">
      <c r="A77" s="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4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</row>
    <row r="78" spans="1:29" hidden="1"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</row>
    <row r="79" spans="1:29" ht="94.5" customHeight="1"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</row>
    <row r="80" spans="1:29"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</row>
    <row r="81" spans="1:29"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</row>
    <row r="82" spans="1:29"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</row>
    <row r="83" spans="1:29"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</row>
    <row r="84" spans="1:29"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</row>
    <row r="85" spans="1:29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</row>
    <row r="86" spans="1:29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</row>
    <row r="87" spans="1:29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</row>
    <row r="88" spans="1:29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</row>
    <row r="89" spans="1:29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</row>
    <row r="90" spans="1:29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</row>
    <row r="91" spans="1:29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</row>
    <row r="92" spans="1:29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</row>
    <row r="93" spans="1:29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</row>
    <row r="94" spans="1:29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</row>
    <row r="95" spans="1:29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</row>
    <row r="96" spans="1:29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</row>
    <row r="97" spans="1:29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</row>
    <row r="98" spans="1:29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</row>
    <row r="99" spans="1:29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</row>
    <row r="100" spans="1:29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</row>
    <row r="101" spans="1:29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</row>
    <row r="102" spans="1:29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</row>
    <row r="103" spans="1:29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</row>
    <row r="104" spans="1:29">
      <c r="A104" s="102"/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</row>
    <row r="105" spans="1:29">
      <c r="A105" s="102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</row>
    <row r="106" spans="1:29">
      <c r="A106" s="102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</row>
    <row r="107" spans="1:29">
      <c r="A107" s="102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</row>
    <row r="108" spans="1:29">
      <c r="A108" s="102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</row>
    <row r="109" spans="1:29">
      <c r="A109" s="102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</row>
    <row r="110" spans="1:29">
      <c r="A110" s="102"/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</row>
    <row r="111" spans="1:29">
      <c r="A111" s="102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</row>
    <row r="112" spans="1:29">
      <c r="A112" s="102"/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</row>
    <row r="113" spans="1:29">
      <c r="A113" s="102"/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</row>
    <row r="114" spans="1:29">
      <c r="A114" s="102"/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</row>
    <row r="115" spans="1:29">
      <c r="A115" s="102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</row>
    <row r="116" spans="1:29">
      <c r="A116" s="102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</row>
    <row r="117" spans="1:29">
      <c r="A117" s="102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</row>
    <row r="118" spans="1:29">
      <c r="A118" s="102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</row>
    <row r="119" spans="1:29">
      <c r="A119" s="102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</row>
    <row r="120" spans="1:29">
      <c r="A120" s="102"/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</row>
    <row r="121" spans="1:29">
      <c r="A121" s="102"/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</row>
    <row r="122" spans="1:29">
      <c r="A122" s="102"/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</row>
    <row r="123" spans="1:29">
      <c r="A123" s="102"/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</row>
  </sheetData>
  <sheetProtection algorithmName="SHA-512" hashValue="XCUWYvZA1X9mHjxU/SECFi+O3iucYhYCb+CBo7aLl3TU6JI0nOfl7xCJAPHIePAKUghYTlrVajqswTrbXkkjrQ==" saltValue="hD1DxizzlI5N9kQtd1T+TQ==" spinCount="100000" sheet="1" objects="1" scenarios="1"/>
  <mergeCells count="14">
    <mergeCell ref="V6:Y6"/>
    <mergeCell ref="V9:W9"/>
    <mergeCell ref="S6:T6"/>
    <mergeCell ref="O26:P26"/>
    <mergeCell ref="O25:P25"/>
    <mergeCell ref="B1:D1"/>
    <mergeCell ref="L1:U1"/>
    <mergeCell ref="H61:I61"/>
    <mergeCell ref="A50:O50"/>
    <mergeCell ref="O27:P27"/>
    <mergeCell ref="O24:P24"/>
    <mergeCell ref="G1:I1"/>
    <mergeCell ref="E1:F1"/>
    <mergeCell ref="R3:U3"/>
  </mergeCells>
  <conditionalFormatting sqref="I9">
    <cfRule type="containsText" dxfId="32" priority="4" operator="containsText" text="act">
      <formula>NOT(ISERROR(SEARCH(("act"),(I9))))</formula>
    </cfRule>
  </conditionalFormatting>
  <conditionalFormatting sqref="J16">
    <cfRule type="containsText" dxfId="31" priority="5" operator="containsText" text="man">
      <formula>NOT(ISERROR(SEARCH(("man"),(J16))))</formula>
    </cfRule>
  </conditionalFormatting>
  <conditionalFormatting sqref="A6">
    <cfRule type="containsBlanks" dxfId="30" priority="6">
      <formula>LEN(TRIM(A6))=0</formula>
    </cfRule>
  </conditionalFormatting>
  <conditionalFormatting sqref="D13">
    <cfRule type="containsText" dxfId="29" priority="8" operator="containsText" text="oops">
      <formula>NOT(ISERROR(SEARCH("oops",D13)))</formula>
    </cfRule>
  </conditionalFormatting>
  <conditionalFormatting sqref="I13">
    <cfRule type="containsText" dxfId="28" priority="10" operator="containsText" text="opps">
      <formula>NOT(ISERROR(SEARCH(("opps"),(I13))))</formula>
    </cfRule>
  </conditionalFormatting>
  <conditionalFormatting sqref="Y5">
    <cfRule type="cellIs" dxfId="27" priority="11" operator="greaterThan">
      <formula>40</formula>
    </cfRule>
  </conditionalFormatting>
  <conditionalFormatting sqref="I12">
    <cfRule type="containsText" dxfId="26" priority="12" operator="containsText" text="cheat">
      <formula>NOT(ISERROR(SEARCH(("cheat"),(I12))))</formula>
    </cfRule>
  </conditionalFormatting>
  <conditionalFormatting sqref="S5">
    <cfRule type="containsText" dxfId="25" priority="13" operator="containsText" text="off">
      <formula>NOT(ISERROR(SEARCH(("off"),(S5))))</formula>
    </cfRule>
  </conditionalFormatting>
  <conditionalFormatting sqref="G9">
    <cfRule type="containsBlanks" dxfId="24" priority="14">
      <formula>LEN(TRIM(G9))=0</formula>
    </cfRule>
  </conditionalFormatting>
  <conditionalFormatting sqref="G1:I1">
    <cfRule type="containsText" dxfId="23" priority="15" operator="containsText" text="internal">
      <formula>NOT(ISERROR(SEARCH(("internal"),(G1))))</formula>
    </cfRule>
  </conditionalFormatting>
  <conditionalFormatting sqref="K9">
    <cfRule type="containsText" dxfId="22" priority="16" operator="containsText" text="man">
      <formula>NOT(ISERROR(SEARCH(("man"),(K9))))</formula>
    </cfRule>
  </conditionalFormatting>
  <conditionalFormatting sqref="AD13">
    <cfRule type="cellIs" dxfId="21" priority="17" operator="lessThan">
      <formula>0</formula>
    </cfRule>
  </conditionalFormatting>
  <conditionalFormatting sqref="AD15">
    <cfRule type="cellIs" dxfId="20" priority="18" operator="lessThan">
      <formula>0</formula>
    </cfRule>
  </conditionalFormatting>
  <conditionalFormatting sqref="AD17:AD20">
    <cfRule type="cellIs" dxfId="19" priority="19" operator="lessThan">
      <formula>0</formula>
    </cfRule>
  </conditionalFormatting>
  <conditionalFormatting sqref="A13">
    <cfRule type="containsText" dxfId="18" priority="20" operator="containsText" text="oops">
      <formula>NOT(ISERROR(SEARCH("oops",A13)))</formula>
    </cfRule>
  </conditionalFormatting>
  <conditionalFormatting sqref="G16">
    <cfRule type="containsText" dxfId="17" priority="21" operator="containsText" text="oops">
      <formula>NOT(ISERROR(SEARCH("oops",G16)))</formula>
    </cfRule>
  </conditionalFormatting>
  <conditionalFormatting sqref="J11">
    <cfRule type="containsText" dxfId="16" priority="22" operator="containsText" text="oops">
      <formula>NOT(ISERROR(SEARCH("oops",J11)))</formula>
    </cfRule>
  </conditionalFormatting>
  <conditionalFormatting sqref="AE23:AE26">
    <cfRule type="cellIs" dxfId="15" priority="23" operator="greaterThan">
      <formula>0</formula>
    </cfRule>
  </conditionalFormatting>
  <conditionalFormatting sqref="Y5">
    <cfRule type="cellIs" dxfId="14" priority="25" operator="between">
      <formula>40</formula>
      <formula>20</formula>
    </cfRule>
  </conditionalFormatting>
  <conditionalFormatting sqref="Y5">
    <cfRule type="cellIs" dxfId="13" priority="26" operator="lessThan">
      <formula>20</formula>
    </cfRule>
  </conditionalFormatting>
  <conditionalFormatting sqref="G7">
    <cfRule type="expression" dxfId="12" priority="27">
      <formula>E5="calc"</formula>
    </cfRule>
  </conditionalFormatting>
  <conditionalFormatting sqref="AF3">
    <cfRule type="notContainsBlanks" dxfId="11" priority="28">
      <formula>LEN(TRIM(AF3))&gt;0</formula>
    </cfRule>
  </conditionalFormatting>
  <conditionalFormatting sqref="H7">
    <cfRule type="expression" dxfId="10" priority="29">
      <formula>E5="calc"</formula>
    </cfRule>
  </conditionalFormatting>
  <conditionalFormatting sqref="I7">
    <cfRule type="expression" dxfId="9" priority="30">
      <formula>E5="calc"</formula>
    </cfRule>
  </conditionalFormatting>
  <conditionalFormatting sqref="J7">
    <cfRule type="expression" dxfId="8" priority="31">
      <formula>E5="calc"</formula>
    </cfRule>
  </conditionalFormatting>
  <conditionalFormatting sqref="K7">
    <cfRule type="expression" dxfId="7" priority="32">
      <formula>E5="calc"</formula>
    </cfRule>
  </conditionalFormatting>
  <conditionalFormatting sqref="F7">
    <cfRule type="expression" dxfId="6" priority="33">
      <formula>E5="calc"</formula>
    </cfRule>
  </conditionalFormatting>
  <conditionalFormatting sqref="H4">
    <cfRule type="expression" dxfId="5" priority="3">
      <formula>E5="freeze"</formula>
    </cfRule>
  </conditionalFormatting>
  <conditionalFormatting sqref="J4">
    <cfRule type="expression" dxfId="4" priority="2">
      <formula>E5="freeze"</formula>
    </cfRule>
  </conditionalFormatting>
  <conditionalFormatting sqref="G13">
    <cfRule type="containsText" dxfId="3" priority="1" operator="containsText" text="oops">
      <formula>NOT(ISERROR(SEARCH("oops",G13)))</formula>
    </cfRule>
  </conditionalFormatting>
  <dataValidations count="13">
    <dataValidation type="list" allowBlank="1" showErrorMessage="1" sqref="C12" xr:uid="{00000000-0002-0000-0000-000000000000}">
      <formula1>"1,2"</formula1>
    </dataValidation>
    <dataValidation type="list" allowBlank="1" sqref="H12" xr:uid="{00000000-0002-0000-0000-000001000000}">
      <formula1>"0.5,1"</formula1>
    </dataValidation>
    <dataValidation type="list" allowBlank="1" showErrorMessage="1" sqref="A15" xr:uid="{00000000-0002-0000-0000-000002000000}">
      <formula1>"low noise,low spur"</formula1>
    </dataValidation>
    <dataValidation type="list" allowBlank="1" sqref="S5" xr:uid="{00000000-0002-0000-0000-000003000000}">
      <formula1>"on,off"</formula1>
    </dataValidation>
    <dataValidation type="list" allowBlank="1" sqref="K9 J16" xr:uid="{00000000-0002-0000-0000-000004000000}">
      <formula1>"auto,man"</formula1>
    </dataValidation>
    <dataValidation type="decimal" allowBlank="1" showDropDown="1" sqref="O2 L4" xr:uid="{00000000-0002-0000-0000-000005000000}">
      <formula1>99.9</formula1>
      <formula2>0.1</formula2>
    </dataValidation>
    <dataValidation type="list" allowBlank="1" sqref="L5" xr:uid="{00000000-0002-0000-0000-000006000000}">
      <formula1>"exact,round"</formula1>
    </dataValidation>
    <dataValidation type="list" allowBlank="1" showInputMessage="1" prompt="Click and enter a value from the list of items" sqref="L17:M17" xr:uid="{00000000-0002-0000-0000-000007000000}">
      <formula1>"0,1"</formula1>
    </dataValidation>
    <dataValidation type="list" allowBlank="1" sqref="E12" xr:uid="{00000000-0002-0000-0000-000008000000}">
      <formula1>"1,2"</formula1>
    </dataValidation>
    <dataValidation type="list" allowBlank="1" sqref="I9" xr:uid="{00000000-0002-0000-0000-000009000000}">
      <formula1>"act flt,pas flt"</formula1>
    </dataValidation>
    <dataValidation type="list" allowBlank="1" sqref="E5" xr:uid="{00000000-0002-0000-0000-00000A000000}">
      <formula1>"freeze,calc"</formula1>
    </dataValidation>
    <dataValidation type="list" allowBlank="1" sqref="F7" xr:uid="{00000000-0002-0000-0000-00000B000000}">
      <formula1>$I$24:$I$27</formula1>
    </dataValidation>
    <dataValidation type="list" allowBlank="1" sqref="A17" xr:uid="{00000000-0002-0000-0000-00000C000000}">
      <formula1>"1,0"</formula1>
    </dataValidation>
  </dataValidations>
  <pageMargins left="0.7" right="0.7" top="0.75" bottom="0.75" header="0.3" footer="0.3"/>
  <pageSetup paperSize="9" scale="5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prompt="Click and enter a value from range 'vcxo raw'!D16:F16" xr:uid="{00000000-0002-0000-0000-00000D000000}">
          <x14:formula1>
            <xm:f>'vcxo raw'!$D$16:$F$16</xm:f>
          </x14:formula1>
          <xm:sqref>A10</xm:sqref>
        </x14:dataValidation>
        <x14:dataValidation type="list" allowBlank="1" showErrorMessage="1" xr:uid="{00000000-0002-0000-0000-00000E000000}">
          <x14:formula1>
            <xm:f>'vco raw data'!$N$17:$N$25</xm:f>
          </x14:formula1>
          <xm:sqref>A7</xm:sqref>
        </x14:dataValidation>
        <x14:dataValidation type="list" allowBlank="1" xr:uid="{D3438D3A-2E40-4EB0-AC9B-D3D11FC4CE7F}">
          <x14:formula1>
            <xm:f>Inputs!$A$11:$A$12</xm:f>
          </x14:formula1>
          <xm:sqref>B1:D1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84"/>
  <sheetViews>
    <sheetView workbookViewId="0">
      <selection sqref="A1:X1"/>
    </sheetView>
  </sheetViews>
  <sheetFormatPr defaultColWidth="14.42578125" defaultRowHeight="12.75" customHeight="1"/>
  <cols>
    <col min="1" max="1" width="6.85546875" customWidth="1"/>
    <col min="2" max="2" width="10.42578125" customWidth="1"/>
    <col min="3" max="25" width="6.85546875" customWidth="1"/>
    <col min="26" max="26" width="27" customWidth="1"/>
  </cols>
  <sheetData>
    <row r="1" spans="1:26" ht="10.5" customHeight="1">
      <c r="A1" s="470" t="s">
        <v>237</v>
      </c>
      <c r="B1" s="463"/>
      <c r="C1" s="463"/>
      <c r="D1" s="463"/>
      <c r="E1" s="463"/>
      <c r="F1" s="463"/>
      <c r="G1" s="463"/>
      <c r="H1" s="463"/>
      <c r="I1" s="463"/>
      <c r="J1" s="463"/>
      <c r="K1" s="463"/>
      <c r="L1" s="463"/>
      <c r="M1" s="463"/>
      <c r="N1" s="463"/>
      <c r="O1" s="463"/>
      <c r="P1" s="463"/>
      <c r="Q1" s="463"/>
      <c r="R1" s="463"/>
      <c r="S1" s="463"/>
      <c r="T1" s="463"/>
      <c r="U1" s="463"/>
      <c r="V1" s="463"/>
      <c r="W1" s="463"/>
      <c r="X1" s="464"/>
      <c r="Y1" s="7"/>
    </row>
    <row r="2" spans="1:26" ht="10.5" customHeight="1">
      <c r="A2" s="75" t="s">
        <v>281</v>
      </c>
      <c r="B2" s="176"/>
      <c r="C2" s="176"/>
      <c r="D2" s="177"/>
      <c r="E2" s="178" t="s">
        <v>282</v>
      </c>
      <c r="F2" s="176"/>
      <c r="G2" s="176"/>
      <c r="H2" s="177"/>
      <c r="I2" s="178" t="s">
        <v>283</v>
      </c>
      <c r="J2" s="176"/>
      <c r="K2" s="176"/>
      <c r="L2" s="177"/>
      <c r="M2" s="178" t="s">
        <v>284</v>
      </c>
      <c r="N2" s="176"/>
      <c r="O2" s="176"/>
      <c r="P2" s="177"/>
      <c r="Q2" s="178" t="s">
        <v>285</v>
      </c>
      <c r="R2" s="176"/>
      <c r="S2" s="176"/>
      <c r="T2" s="177"/>
      <c r="U2" s="178" t="s">
        <v>286</v>
      </c>
      <c r="V2" s="176"/>
      <c r="W2" s="176"/>
      <c r="X2" s="177"/>
      <c r="Y2" s="179"/>
      <c r="Z2" s="180"/>
    </row>
    <row r="3" spans="1:26" ht="10.5" customHeight="1">
      <c r="A3" s="181" t="s">
        <v>287</v>
      </c>
      <c r="B3" s="180"/>
      <c r="C3" s="180"/>
      <c r="D3" s="182" t="s">
        <v>109</v>
      </c>
      <c r="E3" s="183" t="s">
        <v>287</v>
      </c>
      <c r="F3" s="180"/>
      <c r="G3" s="181" t="s">
        <v>288</v>
      </c>
      <c r="H3" s="184"/>
      <c r="I3" s="183" t="s">
        <v>287</v>
      </c>
      <c r="J3" s="180"/>
      <c r="K3" s="181" t="s">
        <v>288</v>
      </c>
      <c r="L3" s="184"/>
      <c r="M3" s="183" t="s">
        <v>287</v>
      </c>
      <c r="N3" s="180"/>
      <c r="O3" s="181" t="s">
        <v>288</v>
      </c>
      <c r="P3" s="184"/>
      <c r="Q3" s="183" t="s">
        <v>287</v>
      </c>
      <c r="R3" s="180"/>
      <c r="S3" s="181" t="s">
        <v>288</v>
      </c>
      <c r="T3" s="184"/>
      <c r="U3" s="183" t="s">
        <v>287</v>
      </c>
      <c r="V3" s="180"/>
      <c r="W3" s="181" t="s">
        <v>288</v>
      </c>
      <c r="X3" s="184"/>
      <c r="Y3" s="179"/>
      <c r="Z3" s="180"/>
    </row>
    <row r="4" spans="1:26" ht="10.5" customHeight="1">
      <c r="A4" s="181">
        <v>31</v>
      </c>
      <c r="B4" s="185">
        <f t="shared" ref="B4:B7" si="0">2^A4</f>
        <v>2147483648</v>
      </c>
      <c r="C4" s="185">
        <f>IF('Top Level'!A17=1,0,1)</f>
        <v>0</v>
      </c>
      <c r="D4" s="182" t="s">
        <v>289</v>
      </c>
      <c r="E4" s="183">
        <v>31</v>
      </c>
      <c r="F4" s="185">
        <f t="shared" ref="F4:F9" si="1">2^E4</f>
        <v>2147483648</v>
      </c>
      <c r="G4" s="185">
        <f>C4</f>
        <v>0</v>
      </c>
      <c r="H4" s="182" t="s">
        <v>290</v>
      </c>
      <c r="I4" s="183">
        <v>31</v>
      </c>
      <c r="J4" s="185">
        <f t="shared" ref="J4:J18" si="2">2^I4</f>
        <v>2147483648</v>
      </c>
      <c r="K4" s="185">
        <f>IF('Top Level'!G12&gt;32,1,0)</f>
        <v>0</v>
      </c>
      <c r="L4" s="182" t="s">
        <v>291</v>
      </c>
      <c r="M4" s="183">
        <v>26</v>
      </c>
      <c r="N4" s="185">
        <f t="shared" ref="N4:N10" si="3">2^M4</f>
        <v>67108864</v>
      </c>
      <c r="O4" s="186">
        <v>0</v>
      </c>
      <c r="P4" s="182" t="s">
        <v>72</v>
      </c>
      <c r="Q4" s="183">
        <v>29</v>
      </c>
      <c r="R4" s="185">
        <f t="shared" ref="R4:R16" si="4">2^Q4</f>
        <v>536870912</v>
      </c>
      <c r="S4" s="186">
        <v>3</v>
      </c>
      <c r="T4" s="182" t="s">
        <v>292</v>
      </c>
      <c r="U4" s="183">
        <v>25</v>
      </c>
      <c r="V4" s="185">
        <f t="shared" ref="V4:V10" si="5">2^U4</f>
        <v>33554432</v>
      </c>
      <c r="W4" s="186">
        <v>0</v>
      </c>
      <c r="X4" s="182" t="s">
        <v>293</v>
      </c>
      <c r="Y4" s="179"/>
      <c r="Z4" s="180"/>
    </row>
    <row r="5" spans="1:26" ht="10.5" customHeight="1">
      <c r="A5" s="181">
        <v>15</v>
      </c>
      <c r="B5" s="185">
        <f t="shared" si="0"/>
        <v>32768</v>
      </c>
      <c r="C5" s="185">
        <f>'Top Level'!G17</f>
        <v>1539</v>
      </c>
      <c r="D5" s="182" t="s">
        <v>294</v>
      </c>
      <c r="E5" s="183">
        <v>29</v>
      </c>
      <c r="F5" s="185">
        <f t="shared" si="1"/>
        <v>536870912</v>
      </c>
      <c r="G5" s="185">
        <f>IF(C4=1,0,2)</f>
        <v>2</v>
      </c>
      <c r="H5" s="182" t="s">
        <v>295</v>
      </c>
      <c r="I5" s="183">
        <v>29</v>
      </c>
      <c r="J5" s="185">
        <f t="shared" si="2"/>
        <v>536870912</v>
      </c>
      <c r="K5" s="186">
        <v>2</v>
      </c>
      <c r="L5" s="182" t="s">
        <v>296</v>
      </c>
      <c r="M5" s="183">
        <v>25</v>
      </c>
      <c r="N5" s="185">
        <f t="shared" si="3"/>
        <v>33554432</v>
      </c>
      <c r="O5" s="186">
        <v>0</v>
      </c>
      <c r="P5" s="182" t="s">
        <v>297</v>
      </c>
      <c r="Q5" s="183">
        <v>26</v>
      </c>
      <c r="R5" s="185">
        <f t="shared" si="4"/>
        <v>67108864</v>
      </c>
      <c r="S5" s="186">
        <v>0</v>
      </c>
      <c r="T5" s="182" t="s">
        <v>298</v>
      </c>
      <c r="U5" s="183">
        <v>24</v>
      </c>
      <c r="V5" s="185">
        <f t="shared" si="5"/>
        <v>16777216</v>
      </c>
      <c r="W5" s="186">
        <v>1</v>
      </c>
      <c r="X5" s="182" t="s">
        <v>299</v>
      </c>
      <c r="Y5" s="179"/>
      <c r="Z5" s="180"/>
    </row>
    <row r="6" spans="1:26" ht="10.5" customHeight="1">
      <c r="A6" s="181">
        <v>3</v>
      </c>
      <c r="B6" s="185">
        <f t="shared" si="0"/>
        <v>8</v>
      </c>
      <c r="C6" s="185">
        <f>'Top Level'!I17</f>
        <v>2413.7683284463455</v>
      </c>
      <c r="D6" s="182" t="s">
        <v>223</v>
      </c>
      <c r="E6" s="183">
        <v>27</v>
      </c>
      <c r="F6" s="185">
        <f t="shared" si="1"/>
        <v>134217728</v>
      </c>
      <c r="G6" s="186">
        <v>0</v>
      </c>
      <c r="H6" s="182" t="s">
        <v>300</v>
      </c>
      <c r="I6" s="183">
        <v>26</v>
      </c>
      <c r="J6" s="185">
        <f t="shared" si="2"/>
        <v>67108864</v>
      </c>
      <c r="K6" s="186">
        <v>0</v>
      </c>
      <c r="L6" s="182" t="s">
        <v>301</v>
      </c>
      <c r="M6" s="183">
        <v>24</v>
      </c>
      <c r="N6" s="185">
        <f t="shared" si="3"/>
        <v>16777216</v>
      </c>
      <c r="O6" s="186">
        <v>0</v>
      </c>
      <c r="P6" s="182" t="s">
        <v>302</v>
      </c>
      <c r="Q6" s="183">
        <v>24</v>
      </c>
      <c r="R6" s="185">
        <f t="shared" si="4"/>
        <v>16777216</v>
      </c>
      <c r="S6" s="185">
        <f>INT('Top Level'!B54/2^8)</f>
        <v>0</v>
      </c>
      <c r="T6" s="182" t="s">
        <v>303</v>
      </c>
      <c r="U6" s="183">
        <v>22</v>
      </c>
      <c r="V6" s="185">
        <f t="shared" si="5"/>
        <v>4194304</v>
      </c>
      <c r="W6" s="186">
        <v>1</v>
      </c>
      <c r="X6" s="182" t="s">
        <v>304</v>
      </c>
      <c r="Y6" s="179"/>
      <c r="Z6" s="180"/>
    </row>
    <row r="7" spans="1:26" ht="10.5" customHeight="1">
      <c r="A7" s="181">
        <v>0</v>
      </c>
      <c r="B7" s="185">
        <f t="shared" si="0"/>
        <v>1</v>
      </c>
      <c r="C7" s="181">
        <v>0</v>
      </c>
      <c r="D7" s="182" t="s">
        <v>305</v>
      </c>
      <c r="E7" s="183">
        <v>15</v>
      </c>
      <c r="F7" s="185">
        <f t="shared" si="1"/>
        <v>32768</v>
      </c>
      <c r="G7" s="186">
        <v>1</v>
      </c>
      <c r="H7" s="182" t="s">
        <v>306</v>
      </c>
      <c r="I7" s="183">
        <v>25</v>
      </c>
      <c r="J7" s="185">
        <f t="shared" si="2"/>
        <v>33554432</v>
      </c>
      <c r="K7" s="185">
        <f>IF('Top Level'!C12=2,1,0)</f>
        <v>0</v>
      </c>
      <c r="L7" s="182" t="s">
        <v>307</v>
      </c>
      <c r="M7" s="183">
        <v>17</v>
      </c>
      <c r="N7" s="185">
        <f t="shared" si="3"/>
        <v>131072</v>
      </c>
      <c r="O7" s="186">
        <v>0</v>
      </c>
      <c r="P7" s="182" t="s">
        <v>298</v>
      </c>
      <c r="Q7" s="183">
        <v>23</v>
      </c>
      <c r="R7" s="185">
        <f t="shared" si="4"/>
        <v>8388608</v>
      </c>
      <c r="S7" s="185">
        <f>'Top Level'!L17</f>
        <v>0</v>
      </c>
      <c r="T7" s="182" t="s">
        <v>308</v>
      </c>
      <c r="U7" s="183">
        <v>19</v>
      </c>
      <c r="V7" s="185">
        <f t="shared" si="5"/>
        <v>524288</v>
      </c>
      <c r="W7" s="186">
        <v>0</v>
      </c>
      <c r="X7" s="182" t="s">
        <v>298</v>
      </c>
      <c r="Y7" s="179"/>
      <c r="Z7" s="180"/>
    </row>
    <row r="8" spans="1:26" ht="10.5" customHeight="1">
      <c r="A8" s="180"/>
      <c r="B8" s="180"/>
      <c r="C8" s="180"/>
      <c r="D8" s="184"/>
      <c r="E8" s="183">
        <v>3</v>
      </c>
      <c r="F8" s="185">
        <f t="shared" si="1"/>
        <v>8</v>
      </c>
      <c r="G8" s="185">
        <f>'Top Level'!H17</f>
        <v>4095</v>
      </c>
      <c r="H8" s="182" t="s">
        <v>139</v>
      </c>
      <c r="I8" s="183">
        <v>24</v>
      </c>
      <c r="J8" s="185">
        <f t="shared" si="2"/>
        <v>16777216</v>
      </c>
      <c r="K8" s="185">
        <f>IF('Top Level'!E12=1,0,1)</f>
        <v>0</v>
      </c>
      <c r="L8" s="182" t="s">
        <v>309</v>
      </c>
      <c r="M8" s="183">
        <v>15</v>
      </c>
      <c r="N8" s="185">
        <f t="shared" si="3"/>
        <v>32768</v>
      </c>
      <c r="O8" s="186">
        <v>0</v>
      </c>
      <c r="P8" s="182" t="s">
        <v>310</v>
      </c>
      <c r="Q8" s="183">
        <v>20</v>
      </c>
      <c r="R8" s="185">
        <f t="shared" si="4"/>
        <v>1048576</v>
      </c>
      <c r="S8" s="185">
        <f>LOG('Top Level'!L10,2)</f>
        <v>0</v>
      </c>
      <c r="T8" s="182" t="s">
        <v>311</v>
      </c>
      <c r="U8" s="183">
        <v>18</v>
      </c>
      <c r="V8" s="185">
        <f t="shared" si="5"/>
        <v>262144</v>
      </c>
      <c r="W8" s="186">
        <v>0</v>
      </c>
      <c r="X8" s="182" t="s">
        <v>312</v>
      </c>
      <c r="Y8" s="179"/>
      <c r="Z8" s="180"/>
    </row>
    <row r="9" spans="1:26" ht="10.5" customHeight="1">
      <c r="A9" s="180"/>
      <c r="B9" s="180"/>
      <c r="C9" s="180"/>
      <c r="D9" s="184"/>
      <c r="E9" s="183">
        <v>0</v>
      </c>
      <c r="F9" s="185">
        <f t="shared" si="1"/>
        <v>1</v>
      </c>
      <c r="G9" s="181">
        <v>1</v>
      </c>
      <c r="H9" s="182" t="s">
        <v>305</v>
      </c>
      <c r="I9" s="183">
        <v>14</v>
      </c>
      <c r="J9" s="185">
        <f t="shared" si="2"/>
        <v>16384</v>
      </c>
      <c r="K9" s="185">
        <f>'Top Level'!D12</f>
        <v>16</v>
      </c>
      <c r="L9" s="182" t="s">
        <v>313</v>
      </c>
      <c r="M9" s="183">
        <v>3</v>
      </c>
      <c r="N9" s="185">
        <f t="shared" si="3"/>
        <v>8</v>
      </c>
      <c r="O9" s="186">
        <v>38</v>
      </c>
      <c r="P9" s="182" t="s">
        <v>314</v>
      </c>
      <c r="Q9" s="183">
        <v>12</v>
      </c>
      <c r="R9" s="185">
        <f t="shared" si="4"/>
        <v>4096</v>
      </c>
      <c r="S9" s="185" t="s">
        <v>615</v>
      </c>
      <c r="T9" s="182" t="s">
        <v>315</v>
      </c>
      <c r="U9" s="183">
        <v>3</v>
      </c>
      <c r="V9" s="185">
        <f t="shared" si="5"/>
        <v>8</v>
      </c>
      <c r="W9" s="186">
        <v>0</v>
      </c>
      <c r="X9" s="182" t="s">
        <v>298</v>
      </c>
      <c r="Y9" s="179"/>
      <c r="Z9" s="180"/>
    </row>
    <row r="10" spans="1:26" ht="10.5" customHeight="1">
      <c r="A10" s="180"/>
      <c r="B10" s="180"/>
      <c r="C10" s="180"/>
      <c r="D10" s="184"/>
      <c r="E10" s="179"/>
      <c r="F10" s="180"/>
      <c r="G10" s="180"/>
      <c r="H10" s="184"/>
      <c r="I10" s="183">
        <v>13</v>
      </c>
      <c r="J10" s="185">
        <f t="shared" si="2"/>
        <v>8192</v>
      </c>
      <c r="K10" s="186">
        <v>0</v>
      </c>
      <c r="L10" s="182" t="s">
        <v>316</v>
      </c>
      <c r="M10" s="183">
        <v>0</v>
      </c>
      <c r="N10" s="185">
        <f t="shared" si="3"/>
        <v>1</v>
      </c>
      <c r="O10" s="186">
        <v>3</v>
      </c>
      <c r="P10" s="182" t="s">
        <v>305</v>
      </c>
      <c r="Q10" s="183">
        <v>10</v>
      </c>
      <c r="R10" s="185">
        <f t="shared" si="4"/>
        <v>1024</v>
      </c>
      <c r="S10" s="186">
        <v>0</v>
      </c>
      <c r="T10" s="182" t="s">
        <v>298</v>
      </c>
      <c r="U10" s="183">
        <v>0</v>
      </c>
      <c r="V10" s="185">
        <f t="shared" si="5"/>
        <v>1</v>
      </c>
      <c r="W10" s="181">
        <v>5</v>
      </c>
      <c r="X10" s="182" t="s">
        <v>305</v>
      </c>
      <c r="Y10" s="179"/>
      <c r="Z10" s="180"/>
    </row>
    <row r="11" spans="1:26" ht="10.5" customHeight="1">
      <c r="A11" s="180"/>
      <c r="B11" s="180"/>
      <c r="C11" s="180"/>
      <c r="D11" s="184"/>
      <c r="E11" s="179"/>
      <c r="F11" s="180"/>
      <c r="G11" s="180"/>
      <c r="H11" s="184"/>
      <c r="I11" s="183">
        <v>9</v>
      </c>
      <c r="J11" s="185">
        <f t="shared" si="2"/>
        <v>512</v>
      </c>
      <c r="K11" s="185">
        <f>INT(('Top Level'!H12/'flat 1f raw'!A16)-1+0.5)</f>
        <v>1</v>
      </c>
      <c r="L11" s="182" t="s">
        <v>317</v>
      </c>
      <c r="M11" s="179"/>
      <c r="N11" s="180"/>
      <c r="O11" s="180"/>
      <c r="P11" s="184"/>
      <c r="Q11" s="183">
        <v>9</v>
      </c>
      <c r="R11" s="185">
        <f t="shared" si="4"/>
        <v>512</v>
      </c>
      <c r="S11" s="185">
        <f>'Top Level'!M17</f>
        <v>1</v>
      </c>
      <c r="T11" s="182" t="s">
        <v>318</v>
      </c>
      <c r="U11" s="179"/>
      <c r="V11" s="180"/>
      <c r="W11" s="180"/>
      <c r="X11" s="184"/>
      <c r="Y11" s="179"/>
      <c r="Z11" s="180"/>
    </row>
    <row r="12" spans="1:26" ht="10.5" customHeight="1">
      <c r="A12" s="180"/>
      <c r="B12" s="180"/>
      <c r="C12" s="180"/>
      <c r="D12" s="184"/>
      <c r="E12" s="179"/>
      <c r="F12" s="180"/>
      <c r="G12" s="180"/>
      <c r="H12" s="184"/>
      <c r="I12" s="183">
        <v>8</v>
      </c>
      <c r="J12" s="185">
        <f t="shared" si="2"/>
        <v>256</v>
      </c>
      <c r="K12" s="185">
        <f>C4</f>
        <v>0</v>
      </c>
      <c r="L12" s="182" t="s">
        <v>319</v>
      </c>
      <c r="M12" s="179"/>
      <c r="N12" s="180"/>
      <c r="O12" s="180"/>
      <c r="P12" s="184"/>
      <c r="Q12" s="183">
        <v>8</v>
      </c>
      <c r="R12" s="185">
        <f t="shared" si="4"/>
        <v>256</v>
      </c>
      <c r="S12" s="187">
        <v>1</v>
      </c>
      <c r="T12" s="182" t="s">
        <v>320</v>
      </c>
      <c r="U12" s="179"/>
      <c r="V12" s="180"/>
      <c r="W12" s="180"/>
      <c r="X12" s="184"/>
      <c r="Y12" s="179"/>
      <c r="Z12" s="180"/>
    </row>
    <row r="13" spans="1:26" ht="10.5" customHeight="1">
      <c r="A13" s="180"/>
      <c r="B13" s="180"/>
      <c r="C13" s="180"/>
      <c r="D13" s="184"/>
      <c r="E13" s="179"/>
      <c r="F13" s="180"/>
      <c r="G13" s="180"/>
      <c r="H13" s="184"/>
      <c r="I13" s="183">
        <v>7</v>
      </c>
      <c r="J13" s="185">
        <f t="shared" si="2"/>
        <v>128</v>
      </c>
      <c r="K13" s="186">
        <v>0</v>
      </c>
      <c r="L13" s="182" t="s">
        <v>321</v>
      </c>
      <c r="M13" s="179"/>
      <c r="N13" s="180"/>
      <c r="O13" s="180"/>
      <c r="P13" s="184"/>
      <c r="Q13" s="183">
        <v>6</v>
      </c>
      <c r="R13" s="185">
        <f t="shared" si="4"/>
        <v>64</v>
      </c>
      <c r="S13" s="187">
        <v>3</v>
      </c>
      <c r="T13" s="182" t="s">
        <v>322</v>
      </c>
      <c r="U13" s="179"/>
      <c r="V13" s="180"/>
      <c r="W13" s="180"/>
      <c r="X13" s="184"/>
      <c r="Y13" s="179"/>
      <c r="Z13" s="180"/>
    </row>
    <row r="14" spans="1:26" ht="10.5" customHeight="1">
      <c r="A14" s="180"/>
      <c r="B14" s="180"/>
      <c r="C14" s="180"/>
      <c r="D14" s="184"/>
      <c r="E14" s="179"/>
      <c r="F14" s="180"/>
      <c r="G14" s="180"/>
      <c r="H14" s="184"/>
      <c r="I14" s="183">
        <v>6</v>
      </c>
      <c r="J14" s="185">
        <f t="shared" si="2"/>
        <v>64</v>
      </c>
      <c r="K14" s="186">
        <v>1</v>
      </c>
      <c r="L14" s="182" t="s">
        <v>323</v>
      </c>
      <c r="M14" s="179"/>
      <c r="N14" s="180"/>
      <c r="O14" s="180"/>
      <c r="P14" s="184"/>
      <c r="Q14" s="183">
        <v>5</v>
      </c>
      <c r="R14" s="185">
        <f t="shared" si="4"/>
        <v>32</v>
      </c>
      <c r="S14" s="187">
        <v>1</v>
      </c>
      <c r="T14" s="182" t="s">
        <v>324</v>
      </c>
      <c r="U14" s="179"/>
      <c r="V14" s="180"/>
      <c r="W14" s="180"/>
      <c r="X14" s="184"/>
      <c r="Y14" s="179"/>
      <c r="Z14" s="180"/>
    </row>
    <row r="15" spans="1:26" ht="10.5" customHeight="1">
      <c r="A15" s="180"/>
      <c r="B15" s="180"/>
      <c r="C15" s="180"/>
      <c r="D15" s="184"/>
      <c r="E15" s="179"/>
      <c r="F15" s="180"/>
      <c r="G15" s="180"/>
      <c r="H15" s="184"/>
      <c r="I15" s="183">
        <v>5</v>
      </c>
      <c r="J15" s="185">
        <f t="shared" si="2"/>
        <v>32</v>
      </c>
      <c r="K15" s="186">
        <v>0</v>
      </c>
      <c r="L15" s="182" t="s">
        <v>325</v>
      </c>
      <c r="M15" s="179"/>
      <c r="N15" s="180"/>
      <c r="O15" s="180"/>
      <c r="P15" s="184"/>
      <c r="Q15" s="183">
        <v>3</v>
      </c>
      <c r="R15" s="185">
        <f t="shared" si="4"/>
        <v>8</v>
      </c>
      <c r="S15" s="187">
        <v>3</v>
      </c>
      <c r="T15" s="182" t="s">
        <v>326</v>
      </c>
      <c r="U15" s="179"/>
      <c r="V15" s="180"/>
      <c r="W15" s="180"/>
      <c r="X15" s="184"/>
      <c r="Y15" s="179"/>
      <c r="Z15" s="180"/>
    </row>
    <row r="16" spans="1:26" ht="10.5" customHeight="1">
      <c r="A16" s="180"/>
      <c r="B16" s="180"/>
      <c r="C16" s="180"/>
      <c r="D16" s="184"/>
      <c r="E16" s="179"/>
      <c r="F16" s="180"/>
      <c r="G16" s="180"/>
      <c r="H16" s="184"/>
      <c r="I16" s="183">
        <v>4</v>
      </c>
      <c r="J16" s="185">
        <f t="shared" si="2"/>
        <v>16</v>
      </c>
      <c r="K16" s="186">
        <v>0</v>
      </c>
      <c r="L16" s="182" t="s">
        <v>327</v>
      </c>
      <c r="M16" s="179"/>
      <c r="N16" s="180"/>
      <c r="O16" s="180"/>
      <c r="P16" s="184"/>
      <c r="Q16" s="183">
        <v>0</v>
      </c>
      <c r="R16" s="185">
        <f t="shared" si="4"/>
        <v>1</v>
      </c>
      <c r="S16" s="181">
        <v>4</v>
      </c>
      <c r="T16" s="182" t="s">
        <v>305</v>
      </c>
      <c r="U16" s="179"/>
      <c r="V16" s="180"/>
      <c r="W16" s="180"/>
      <c r="X16" s="184"/>
      <c r="Y16" s="179"/>
      <c r="Z16" s="180"/>
    </row>
    <row r="17" spans="1:26" ht="10.5" customHeight="1">
      <c r="A17" s="180"/>
      <c r="B17" s="180"/>
      <c r="C17" s="180"/>
      <c r="D17" s="184"/>
      <c r="E17" s="179"/>
      <c r="F17" s="180"/>
      <c r="G17" s="180"/>
      <c r="H17" s="184"/>
      <c r="I17" s="183">
        <v>3</v>
      </c>
      <c r="J17" s="185">
        <f t="shared" si="2"/>
        <v>8</v>
      </c>
      <c r="K17" s="186">
        <v>0</v>
      </c>
      <c r="L17" s="182" t="s">
        <v>328</v>
      </c>
      <c r="M17" s="179"/>
      <c r="N17" s="180"/>
      <c r="O17" s="180"/>
      <c r="P17" s="184"/>
      <c r="Q17" s="179"/>
      <c r="R17" s="180"/>
      <c r="S17" s="180"/>
      <c r="T17" s="184"/>
      <c r="U17" s="179"/>
      <c r="V17" s="180"/>
      <c r="W17" s="180"/>
      <c r="X17" s="184"/>
      <c r="Y17" s="179"/>
      <c r="Z17" s="180"/>
    </row>
    <row r="18" spans="1:26" ht="10.5" customHeight="1">
      <c r="A18" s="180"/>
      <c r="B18" s="180"/>
      <c r="C18" s="180"/>
      <c r="D18" s="184"/>
      <c r="E18" s="179"/>
      <c r="F18" s="180"/>
      <c r="G18" s="180"/>
      <c r="H18" s="184"/>
      <c r="I18" s="183">
        <v>0</v>
      </c>
      <c r="J18" s="185">
        <f t="shared" si="2"/>
        <v>1</v>
      </c>
      <c r="K18" s="181">
        <v>2</v>
      </c>
      <c r="L18" s="182" t="s">
        <v>305</v>
      </c>
      <c r="M18" s="179"/>
      <c r="N18" s="180"/>
      <c r="O18" s="180"/>
      <c r="P18" s="184"/>
      <c r="Q18" s="179"/>
      <c r="R18" s="180"/>
      <c r="S18" s="180"/>
      <c r="T18" s="184"/>
      <c r="U18" s="179"/>
      <c r="V18" s="180"/>
      <c r="W18" s="180"/>
      <c r="X18" s="184"/>
      <c r="Y18" s="179"/>
      <c r="Z18" s="180"/>
    </row>
    <row r="19" spans="1:26" ht="10.5" customHeight="1">
      <c r="A19" s="180"/>
      <c r="B19" s="180"/>
      <c r="C19" s="180"/>
      <c r="D19" s="184"/>
      <c r="E19" s="179"/>
      <c r="F19" s="180"/>
      <c r="G19" s="180"/>
      <c r="H19" s="184"/>
      <c r="I19" s="179"/>
      <c r="J19" s="180"/>
      <c r="K19" s="180"/>
      <c r="L19" s="184"/>
      <c r="M19" s="179"/>
      <c r="N19" s="180"/>
      <c r="O19" s="180"/>
      <c r="P19" s="184"/>
      <c r="Q19" s="179"/>
      <c r="R19" s="180"/>
      <c r="S19" s="180"/>
      <c r="T19" s="184"/>
      <c r="U19" s="179"/>
      <c r="V19" s="180"/>
      <c r="W19" s="180"/>
      <c r="X19" s="184"/>
      <c r="Y19" s="179"/>
      <c r="Z19" s="180"/>
    </row>
    <row r="20" spans="1:26" ht="10.5" customHeight="1">
      <c r="A20" s="188"/>
      <c r="B20" s="188"/>
      <c r="C20" s="188"/>
      <c r="D20" s="189"/>
      <c r="E20" s="190"/>
      <c r="F20" s="188"/>
      <c r="G20" s="188"/>
      <c r="H20" s="189"/>
      <c r="I20" s="190"/>
      <c r="J20" s="188"/>
      <c r="K20" s="188"/>
      <c r="L20" s="189"/>
      <c r="M20" s="190"/>
      <c r="N20" s="188"/>
      <c r="O20" s="188"/>
      <c r="P20" s="189"/>
      <c r="Q20" s="190"/>
      <c r="R20" s="188"/>
      <c r="S20" s="188"/>
      <c r="T20" s="189"/>
      <c r="U20" s="190"/>
      <c r="V20" s="188"/>
      <c r="W20" s="188"/>
      <c r="X20" s="189"/>
      <c r="Y20" s="190"/>
      <c r="Z20" s="188"/>
    </row>
    <row r="21" spans="1:26" ht="10.5" customHeight="1">
      <c r="A21" s="180"/>
      <c r="B21" s="185">
        <f>B4*C4+B5*C5+B6*C6+B7*C7+B8*C8+B9*C9+B10*C10+B11*C11+B12*C12+B13*C13+B14*C14+B15*C15+B16*C16+B17*C17+B18*C18</f>
        <v>50449262.146627568</v>
      </c>
      <c r="C21" s="180"/>
      <c r="D21" s="184"/>
      <c r="E21" s="179"/>
      <c r="F21" s="185">
        <f>F4*G4+F5*G5+F6*G6+F7*G7+F8*G8+F9*G9+F10*G10+F11*G11+F12*G12+F13*G13+F14*G14+F15*G15+F16*G16+F17*G17+F18*G18</f>
        <v>1073807353</v>
      </c>
      <c r="G21" s="180"/>
      <c r="H21" s="184"/>
      <c r="I21" s="179"/>
      <c r="J21" s="185">
        <f>J4*K4+J5*K5+J6*K6+J7*K7+J8*K8+J9*K9+J10*K10+J11*K11+J12*K12+J13*K13+J14*K14+J15*K15+J16*K16+J17*K17+J18*K18</f>
        <v>1074004546</v>
      </c>
      <c r="K21" s="180"/>
      <c r="L21" s="184"/>
      <c r="M21" s="179"/>
      <c r="N21" s="185">
        <f>N4*O4+N5*O5+N6*O6+N7*O7+N8*O8+N9*O9+N10*O10+N11*O11+N12*O12+N13*O13+N14*O14+N15*O15+N16*O16+N17*O17+N18*O18</f>
        <v>307</v>
      </c>
      <c r="O21" s="180"/>
      <c r="P21" s="184"/>
      <c r="Q21" s="179"/>
      <c r="R21" s="185">
        <f>R4*S4+R5*S5+R6*S6+R7*S7+R8*S8+R9*S9+R10*S10+R11*S11+R12*S12+R13*S13+R14*S14+R15*S15+R16*S16</f>
        <v>1611285500</v>
      </c>
      <c r="S21" s="180"/>
      <c r="T21" s="184"/>
      <c r="U21" s="179"/>
      <c r="V21" s="185">
        <f>V4*W4+V5*W5+V6*W6+V7*W7+V8*W8+V9*W9+V10*W10+V11*W11+V12*W12+V13*W13+V14*W14+V15*W15+V16*W16+V17*W17+V18*W18</f>
        <v>20971525</v>
      </c>
      <c r="W21" s="180"/>
      <c r="X21" s="184"/>
      <c r="Y21" s="179"/>
      <c r="Z21" s="180"/>
    </row>
    <row r="22" spans="1:26" ht="10.5" customHeight="1">
      <c r="A22" s="471" t="str">
        <f>DEC2HEX(B21,8)</f>
        <v>0301CB6E</v>
      </c>
      <c r="B22" s="472"/>
      <c r="C22" s="472"/>
      <c r="D22" s="191" t="s">
        <v>329</v>
      </c>
      <c r="E22" s="471" t="str">
        <f>DEC2HEX(F21,8)</f>
        <v>4000FFF9</v>
      </c>
      <c r="F22" s="472"/>
      <c r="G22" s="472"/>
      <c r="H22" s="191" t="s">
        <v>329</v>
      </c>
      <c r="I22" s="471" t="str">
        <f>DEC2HEX(J21,8)</f>
        <v>40040242</v>
      </c>
      <c r="J22" s="472"/>
      <c r="K22" s="472"/>
      <c r="L22" s="191" t="s">
        <v>329</v>
      </c>
      <c r="M22" s="471" t="str">
        <f>DEC2HEX(N21,8)</f>
        <v>00000133</v>
      </c>
      <c r="N22" s="472"/>
      <c r="O22" s="472"/>
      <c r="P22" s="191" t="s">
        <v>329</v>
      </c>
      <c r="Q22" s="471" t="str">
        <f>DEC2HEX(R21,8)</f>
        <v>600A43FC</v>
      </c>
      <c r="R22" s="472"/>
      <c r="S22" s="472"/>
      <c r="T22" s="191" t="s">
        <v>329</v>
      </c>
      <c r="U22" s="471" t="str">
        <f>DEC2HEX(V21,8)</f>
        <v>01400005</v>
      </c>
      <c r="V22" s="472"/>
      <c r="W22" s="472"/>
      <c r="X22" s="192"/>
      <c r="Y22" s="179"/>
      <c r="Z22" s="180"/>
    </row>
    <row r="23" spans="1:26" ht="10.5" customHeight="1">
      <c r="A23" s="469" t="str">
        <f>CONCATENATE(A22:W22)</f>
        <v>0301CB6E</v>
      </c>
      <c r="B23" s="463"/>
      <c r="C23" s="463"/>
      <c r="D23" s="463"/>
      <c r="E23" s="463"/>
      <c r="F23" s="463"/>
      <c r="G23" s="463"/>
      <c r="H23" s="463"/>
      <c r="I23" s="463"/>
      <c r="J23" s="463"/>
      <c r="K23" s="463"/>
      <c r="L23" s="463"/>
      <c r="M23" s="463"/>
      <c r="N23" s="463"/>
      <c r="O23" s="463"/>
      <c r="P23" s="463"/>
      <c r="Q23" s="463"/>
      <c r="R23" s="463"/>
      <c r="S23" s="463"/>
      <c r="T23" s="463"/>
      <c r="U23" s="463"/>
      <c r="V23" s="463"/>
      <c r="W23" s="463"/>
      <c r="X23" s="464"/>
      <c r="Y23" s="179"/>
      <c r="Z23" s="180"/>
    </row>
    <row r="24" spans="1:26" ht="10.5" customHeight="1">
      <c r="A24" s="176"/>
      <c r="B24" s="176"/>
      <c r="C24" s="176"/>
      <c r="D24" s="177"/>
      <c r="E24" s="193"/>
      <c r="F24" s="176"/>
      <c r="G24" s="176"/>
      <c r="H24" s="177"/>
      <c r="I24" s="193"/>
      <c r="J24" s="176"/>
      <c r="K24" s="176"/>
      <c r="L24" s="177"/>
      <c r="M24" s="193"/>
      <c r="N24" s="176"/>
      <c r="O24" s="176"/>
      <c r="P24" s="177"/>
      <c r="Q24" s="193"/>
      <c r="R24" s="176"/>
      <c r="S24" s="176"/>
      <c r="T24" s="177"/>
      <c r="U24" s="193"/>
      <c r="V24" s="176"/>
      <c r="W24" s="176"/>
      <c r="X24" s="177"/>
      <c r="Y24" s="179"/>
      <c r="Z24" s="180"/>
    </row>
    <row r="25" spans="1:26" ht="10.5" customHeight="1">
      <c r="A25" s="194"/>
      <c r="B25" s="194"/>
      <c r="C25" s="194"/>
      <c r="D25" s="192"/>
      <c r="E25" s="195"/>
      <c r="F25" s="194"/>
      <c r="G25" s="194"/>
      <c r="H25" s="192"/>
      <c r="I25" s="195"/>
      <c r="J25" s="194"/>
      <c r="K25" s="194"/>
      <c r="L25" s="192"/>
      <c r="M25" s="195"/>
      <c r="N25" s="194"/>
      <c r="O25" s="194"/>
      <c r="P25" s="192"/>
      <c r="Q25" s="195"/>
      <c r="R25" s="194"/>
      <c r="S25" s="194"/>
      <c r="T25" s="192"/>
      <c r="U25" s="195"/>
      <c r="V25" s="194"/>
      <c r="W25" s="194"/>
      <c r="X25" s="192"/>
      <c r="Y25" s="179"/>
      <c r="Z25" s="180"/>
    </row>
    <row r="26" spans="1:26" ht="10.5" customHeight="1">
      <c r="A26" s="470" t="s">
        <v>238</v>
      </c>
      <c r="B26" s="463"/>
      <c r="C26" s="463"/>
      <c r="D26" s="463"/>
      <c r="E26" s="463"/>
      <c r="F26" s="463"/>
      <c r="G26" s="463"/>
      <c r="H26" s="463"/>
      <c r="I26" s="463"/>
      <c r="J26" s="463"/>
      <c r="K26" s="463"/>
      <c r="L26" s="463"/>
      <c r="M26" s="463"/>
      <c r="N26" s="463"/>
      <c r="O26" s="463"/>
      <c r="P26" s="463"/>
      <c r="Q26" s="463"/>
      <c r="R26" s="463"/>
      <c r="S26" s="463"/>
      <c r="T26" s="463"/>
      <c r="U26" s="463"/>
      <c r="V26" s="463"/>
      <c r="W26" s="463"/>
      <c r="X26" s="464"/>
      <c r="Y26" s="179"/>
      <c r="Z26" s="180"/>
    </row>
    <row r="27" spans="1:26" ht="10.5" customHeight="1">
      <c r="A27" s="75" t="s">
        <v>281</v>
      </c>
      <c r="B27" s="176"/>
      <c r="C27" s="176"/>
      <c r="D27" s="177"/>
      <c r="E27" s="178" t="s">
        <v>282</v>
      </c>
      <c r="F27" s="176"/>
      <c r="G27" s="176"/>
      <c r="H27" s="177"/>
      <c r="I27" s="178" t="s">
        <v>283</v>
      </c>
      <c r="J27" s="176"/>
      <c r="K27" s="176"/>
      <c r="L27" s="177"/>
      <c r="M27" s="178" t="s">
        <v>284</v>
      </c>
      <c r="N27" s="176"/>
      <c r="O27" s="176"/>
      <c r="P27" s="177"/>
      <c r="Q27" s="178" t="s">
        <v>285</v>
      </c>
      <c r="R27" s="176"/>
      <c r="S27" s="176"/>
      <c r="T27" s="177"/>
      <c r="U27" s="193"/>
      <c r="V27" s="176"/>
      <c r="W27" s="176"/>
      <c r="X27" s="177"/>
      <c r="Y27" s="179"/>
      <c r="Z27" s="180"/>
    </row>
    <row r="28" spans="1:26" ht="10.5" customHeight="1">
      <c r="A28" s="181" t="s">
        <v>287</v>
      </c>
      <c r="B28" s="180"/>
      <c r="C28" s="180"/>
      <c r="D28" s="182" t="s">
        <v>109</v>
      </c>
      <c r="E28" s="183" t="s">
        <v>287</v>
      </c>
      <c r="F28" s="180"/>
      <c r="G28" s="181" t="s">
        <v>288</v>
      </c>
      <c r="H28" s="184"/>
      <c r="I28" s="183" t="s">
        <v>287</v>
      </c>
      <c r="J28" s="180"/>
      <c r="K28" s="181" t="s">
        <v>288</v>
      </c>
      <c r="L28" s="184"/>
      <c r="M28" s="183" t="s">
        <v>287</v>
      </c>
      <c r="N28" s="180"/>
      <c r="O28" s="181" t="s">
        <v>288</v>
      </c>
      <c r="P28" s="184"/>
      <c r="Q28" s="183" t="s">
        <v>287</v>
      </c>
      <c r="R28" s="180"/>
      <c r="S28" s="181" t="s">
        <v>288</v>
      </c>
      <c r="T28" s="184"/>
      <c r="U28" s="179"/>
      <c r="V28" s="180"/>
      <c r="W28" s="180"/>
      <c r="X28" s="184"/>
      <c r="Y28" s="179"/>
      <c r="Z28" s="180"/>
    </row>
    <row r="29" spans="1:26" ht="10.5" customHeight="1">
      <c r="A29" s="181">
        <v>31</v>
      </c>
      <c r="B29" s="185">
        <f t="shared" ref="B29:B33" si="6">2^A29</f>
        <v>2147483648</v>
      </c>
      <c r="C29" s="181">
        <v>0</v>
      </c>
      <c r="D29" s="182" t="s">
        <v>330</v>
      </c>
      <c r="E29" s="183">
        <v>31</v>
      </c>
      <c r="F29" s="185">
        <f t="shared" ref="F29:F36" si="7">2^E29</f>
        <v>2147483648</v>
      </c>
      <c r="G29" s="185">
        <f>C29</f>
        <v>0</v>
      </c>
      <c r="H29" s="182" t="s">
        <v>330</v>
      </c>
      <c r="I29" s="183">
        <v>31</v>
      </c>
      <c r="J29" s="185">
        <f t="shared" ref="J29:J38" si="8">2^I29</f>
        <v>2147483648</v>
      </c>
      <c r="K29" s="185">
        <f>G29</f>
        <v>0</v>
      </c>
      <c r="L29" s="182" t="s">
        <v>330</v>
      </c>
      <c r="M29" s="183">
        <v>31</v>
      </c>
      <c r="N29" s="185">
        <f t="shared" ref="N29:N44" si="9">2^M29</f>
        <v>2147483648</v>
      </c>
      <c r="O29" s="185">
        <f>K29</f>
        <v>0</v>
      </c>
      <c r="P29" s="182" t="s">
        <v>330</v>
      </c>
      <c r="Q29" s="183">
        <v>31</v>
      </c>
      <c r="R29" s="185">
        <f t="shared" ref="R29:R34" si="10">2^Q29</f>
        <v>2147483648</v>
      </c>
      <c r="S29" s="181">
        <v>0</v>
      </c>
      <c r="T29" s="182" t="s">
        <v>330</v>
      </c>
      <c r="U29" s="179"/>
      <c r="V29" s="180"/>
      <c r="W29" s="180"/>
      <c r="X29" s="184"/>
      <c r="Y29" s="179"/>
      <c r="Z29" s="180"/>
    </row>
    <row r="30" spans="1:26" ht="10.5" customHeight="1">
      <c r="A30" s="181">
        <v>27</v>
      </c>
      <c r="B30" s="185">
        <f t="shared" si="6"/>
        <v>134217728</v>
      </c>
      <c r="C30" s="181">
        <v>0</v>
      </c>
      <c r="D30" s="182" t="s">
        <v>331</v>
      </c>
      <c r="E30" s="183">
        <v>27</v>
      </c>
      <c r="F30" s="185">
        <f t="shared" si="7"/>
        <v>134217728</v>
      </c>
      <c r="G30" s="185">
        <f>INT('Top Level'!G17/2^12)</f>
        <v>0</v>
      </c>
      <c r="H30" s="182" t="s">
        <v>332</v>
      </c>
      <c r="I30" s="183">
        <v>29</v>
      </c>
      <c r="J30" s="185">
        <f t="shared" si="8"/>
        <v>536870912</v>
      </c>
      <c r="K30" s="186">
        <v>2</v>
      </c>
      <c r="L30" s="182" t="s">
        <v>296</v>
      </c>
      <c r="M30" s="183">
        <v>18</v>
      </c>
      <c r="N30" s="185">
        <f t="shared" si="9"/>
        <v>262144</v>
      </c>
      <c r="O30" s="186">
        <v>0</v>
      </c>
      <c r="P30" s="182" t="s">
        <v>298</v>
      </c>
      <c r="Q30" s="183">
        <v>22</v>
      </c>
      <c r="R30" s="185">
        <f t="shared" si="10"/>
        <v>4194304</v>
      </c>
      <c r="S30" s="186">
        <v>0</v>
      </c>
      <c r="T30" s="182" t="s">
        <v>298</v>
      </c>
      <c r="U30" s="179"/>
      <c r="V30" s="180"/>
      <c r="W30" s="180"/>
      <c r="X30" s="184"/>
      <c r="Y30" s="179"/>
      <c r="Z30" s="180"/>
    </row>
    <row r="31" spans="1:26" ht="10.5" customHeight="1">
      <c r="A31" s="181">
        <v>15</v>
      </c>
      <c r="B31" s="185">
        <f t="shared" si="6"/>
        <v>32768</v>
      </c>
      <c r="C31" s="185">
        <f>'Top Level'!G17-G30*2^12</f>
        <v>1539</v>
      </c>
      <c r="D31" s="182" t="s">
        <v>333</v>
      </c>
      <c r="E31" s="183">
        <v>26</v>
      </c>
      <c r="F31" s="185">
        <f t="shared" si="7"/>
        <v>67108864</v>
      </c>
      <c r="G31" s="186">
        <v>0</v>
      </c>
      <c r="H31" s="182" t="s">
        <v>298</v>
      </c>
      <c r="I31" s="183">
        <v>28</v>
      </c>
      <c r="J31" s="185">
        <f t="shared" si="8"/>
        <v>268435456</v>
      </c>
      <c r="K31" s="186">
        <v>0</v>
      </c>
      <c r="L31" s="182" t="s">
        <v>334</v>
      </c>
      <c r="M31" s="183">
        <v>17</v>
      </c>
      <c r="N31" s="185">
        <f t="shared" si="9"/>
        <v>131072</v>
      </c>
      <c r="O31" s="186">
        <v>0</v>
      </c>
      <c r="P31" s="182" t="s">
        <v>299</v>
      </c>
      <c r="Q31" s="183">
        <v>21</v>
      </c>
      <c r="R31" s="185">
        <f t="shared" si="10"/>
        <v>2097152</v>
      </c>
      <c r="S31" s="185" t="e">
        <f>INT('Top Level'!B64/2^8)</f>
        <v>#VALUE!</v>
      </c>
      <c r="T31" s="182" t="s">
        <v>335</v>
      </c>
      <c r="U31" s="179"/>
      <c r="V31" s="180"/>
      <c r="W31" s="180"/>
      <c r="X31" s="184"/>
      <c r="Y31" s="179"/>
      <c r="Z31" s="180"/>
    </row>
    <row r="32" spans="1:26" ht="10.5" customHeight="1">
      <c r="A32" s="181">
        <v>3</v>
      </c>
      <c r="B32" s="185">
        <f t="shared" si="6"/>
        <v>8</v>
      </c>
      <c r="C32" s="185">
        <f>'Top Level'!I17</f>
        <v>2413.7683284463455</v>
      </c>
      <c r="D32" s="182" t="s">
        <v>57</v>
      </c>
      <c r="E32" s="183">
        <v>25</v>
      </c>
      <c r="F32" s="185">
        <f t="shared" si="7"/>
        <v>33554432</v>
      </c>
      <c r="G32" s="185">
        <f>IF('Top Level'!J12&gt;6200,1,0)</f>
        <v>0</v>
      </c>
      <c r="H32" s="182" t="s">
        <v>336</v>
      </c>
      <c r="I32" s="183">
        <v>24</v>
      </c>
      <c r="J32" s="185">
        <f t="shared" si="8"/>
        <v>16777216</v>
      </c>
      <c r="K32" s="185">
        <f>INT(('Top Level'!H12/'flat 1f raw'!A16)-1+0.5)</f>
        <v>1</v>
      </c>
      <c r="L32" s="182" t="s">
        <v>317</v>
      </c>
      <c r="M32" s="183">
        <v>15</v>
      </c>
      <c r="N32" s="185">
        <f t="shared" si="9"/>
        <v>32768</v>
      </c>
      <c r="O32" s="186">
        <v>0</v>
      </c>
      <c r="P32" s="182" t="s">
        <v>300</v>
      </c>
      <c r="Q32" s="183">
        <v>19</v>
      </c>
      <c r="R32" s="185">
        <f t="shared" si="10"/>
        <v>524288</v>
      </c>
      <c r="S32" s="181">
        <v>0</v>
      </c>
      <c r="T32" s="182" t="s">
        <v>337</v>
      </c>
      <c r="U32" s="179"/>
      <c r="V32" s="180"/>
      <c r="W32" s="180"/>
      <c r="X32" s="184"/>
      <c r="Y32" s="179"/>
      <c r="Z32" s="180"/>
    </row>
    <row r="33" spans="1:26" ht="10.5" customHeight="1">
      <c r="A33" s="181">
        <v>0</v>
      </c>
      <c r="B33" s="185">
        <f t="shared" si="6"/>
        <v>1</v>
      </c>
      <c r="C33" s="181">
        <v>0</v>
      </c>
      <c r="D33" s="182" t="s">
        <v>305</v>
      </c>
      <c r="E33" s="183">
        <v>20</v>
      </c>
      <c r="F33" s="185">
        <f t="shared" si="7"/>
        <v>1048576</v>
      </c>
      <c r="G33" s="186">
        <v>0</v>
      </c>
      <c r="H33" s="182" t="s">
        <v>298</v>
      </c>
      <c r="I33" s="183">
        <v>22</v>
      </c>
      <c r="J33" s="185">
        <f t="shared" si="8"/>
        <v>4194304</v>
      </c>
      <c r="K33" s="186">
        <v>0</v>
      </c>
      <c r="L33" s="182" t="s">
        <v>298</v>
      </c>
      <c r="M33" s="183">
        <v>14</v>
      </c>
      <c r="N33" s="185">
        <f t="shared" si="9"/>
        <v>16384</v>
      </c>
      <c r="O33" s="186">
        <v>0</v>
      </c>
      <c r="P33" s="182" t="s">
        <v>338</v>
      </c>
      <c r="Q33" s="183">
        <v>20</v>
      </c>
      <c r="R33" s="185">
        <f t="shared" si="10"/>
        <v>1048576</v>
      </c>
      <c r="S33" s="181">
        <v>0</v>
      </c>
      <c r="T33" s="182" t="s">
        <v>339</v>
      </c>
      <c r="U33" s="179"/>
      <c r="V33" s="180"/>
      <c r="W33" s="180"/>
      <c r="X33" s="184"/>
      <c r="Y33" s="179"/>
      <c r="Z33" s="180"/>
    </row>
    <row r="34" spans="1:26" ht="10.5" customHeight="1">
      <c r="A34" s="180"/>
      <c r="B34" s="180"/>
      <c r="C34" s="180"/>
      <c r="D34" s="184"/>
      <c r="E34" s="183">
        <v>15</v>
      </c>
      <c r="F34" s="185">
        <f t="shared" si="7"/>
        <v>32768</v>
      </c>
      <c r="G34" s="185">
        <f>INT('Top Level'!D12/2^5)</f>
        <v>0</v>
      </c>
      <c r="H34" s="182" t="s">
        <v>340</v>
      </c>
      <c r="I34" s="183">
        <v>21</v>
      </c>
      <c r="J34" s="185">
        <f t="shared" si="8"/>
        <v>2097152</v>
      </c>
      <c r="K34" s="185">
        <f>IF('Top Level'!E12=1,0,1)</f>
        <v>0</v>
      </c>
      <c r="L34" s="182" t="s">
        <v>309</v>
      </c>
      <c r="M34" s="183">
        <v>13</v>
      </c>
      <c r="N34" s="185">
        <f t="shared" si="9"/>
        <v>8192</v>
      </c>
      <c r="O34" s="196">
        <f>C4</f>
        <v>0</v>
      </c>
      <c r="P34" s="182" t="s">
        <v>341</v>
      </c>
      <c r="Q34" s="183">
        <v>0</v>
      </c>
      <c r="R34" s="185">
        <f t="shared" si="10"/>
        <v>1</v>
      </c>
      <c r="S34" s="181">
        <v>4</v>
      </c>
      <c r="T34" s="182" t="s">
        <v>305</v>
      </c>
      <c r="U34" s="179"/>
      <c r="V34" s="180"/>
      <c r="W34" s="180"/>
      <c r="X34" s="184"/>
      <c r="Y34" s="179"/>
      <c r="Z34" s="180"/>
    </row>
    <row r="35" spans="1:26" ht="10.5" customHeight="1">
      <c r="A35" s="180"/>
      <c r="B35" s="180"/>
      <c r="C35" s="180"/>
      <c r="D35" s="184"/>
      <c r="E35" s="183">
        <v>3</v>
      </c>
      <c r="F35" s="185">
        <f t="shared" si="7"/>
        <v>8</v>
      </c>
      <c r="G35" s="186">
        <v>1</v>
      </c>
      <c r="H35" s="182" t="s">
        <v>306</v>
      </c>
      <c r="I35" s="183">
        <v>20</v>
      </c>
      <c r="J35" s="185">
        <f t="shared" si="8"/>
        <v>1048576</v>
      </c>
      <c r="K35" s="185">
        <f>IF('Top Level'!C12=2,1,0)</f>
        <v>0</v>
      </c>
      <c r="L35" s="182" t="s">
        <v>307</v>
      </c>
      <c r="M35" s="183">
        <v>11</v>
      </c>
      <c r="N35" s="185">
        <f t="shared" si="9"/>
        <v>2048</v>
      </c>
      <c r="O35" s="185">
        <f>IF(C4=1,0,2)</f>
        <v>2</v>
      </c>
      <c r="P35" s="182" t="s">
        <v>342</v>
      </c>
      <c r="Q35" s="179"/>
      <c r="R35" s="180"/>
      <c r="S35" s="180"/>
      <c r="T35" s="184"/>
      <c r="U35" s="179"/>
      <c r="V35" s="180"/>
      <c r="W35" s="180"/>
      <c r="X35" s="184"/>
      <c r="Y35" s="179"/>
      <c r="Z35" s="180"/>
    </row>
    <row r="36" spans="1:26" ht="10.5" customHeight="1">
      <c r="A36" s="180"/>
      <c r="B36" s="180"/>
      <c r="C36" s="180"/>
      <c r="D36" s="184"/>
      <c r="E36" s="183">
        <v>0</v>
      </c>
      <c r="F36" s="185">
        <f t="shared" si="7"/>
        <v>1</v>
      </c>
      <c r="G36" s="181">
        <v>1</v>
      </c>
      <c r="H36" s="182" t="s">
        <v>305</v>
      </c>
      <c r="I36" s="183">
        <v>15</v>
      </c>
      <c r="J36" s="185">
        <f t="shared" si="8"/>
        <v>32768</v>
      </c>
      <c r="K36" s="185">
        <f>'Top Level'!D12-G34*'Top Level'!D12</f>
        <v>16</v>
      </c>
      <c r="L36" s="182" t="s">
        <v>343</v>
      </c>
      <c r="M36" s="183">
        <v>10</v>
      </c>
      <c r="N36" s="185">
        <f t="shared" si="9"/>
        <v>1024</v>
      </c>
      <c r="O36" s="185">
        <f>IF('Top Level'!A17=1,0,1)</f>
        <v>0</v>
      </c>
      <c r="P36" s="182" t="s">
        <v>344</v>
      </c>
      <c r="Q36" s="179"/>
      <c r="R36" s="180"/>
      <c r="S36" s="180"/>
      <c r="T36" s="184"/>
      <c r="U36" s="179"/>
      <c r="V36" s="180"/>
      <c r="W36" s="180"/>
      <c r="X36" s="184"/>
      <c r="Y36" s="179"/>
      <c r="Z36" s="180"/>
    </row>
    <row r="37" spans="1:26" ht="10.5" customHeight="1">
      <c r="A37" s="180"/>
      <c r="B37" s="180"/>
      <c r="C37" s="180"/>
      <c r="D37" s="184"/>
      <c r="E37" s="179"/>
      <c r="F37" s="180"/>
      <c r="G37" s="180"/>
      <c r="H37" s="184"/>
      <c r="I37" s="183">
        <v>3</v>
      </c>
      <c r="J37" s="185">
        <f t="shared" si="8"/>
        <v>8</v>
      </c>
      <c r="K37" s="185">
        <f>'Top Level'!H17</f>
        <v>4095</v>
      </c>
      <c r="L37" s="182" t="s">
        <v>139</v>
      </c>
      <c r="M37" s="183">
        <v>9</v>
      </c>
      <c r="N37" s="185">
        <f t="shared" si="9"/>
        <v>512</v>
      </c>
      <c r="O37" s="185">
        <f>O36</f>
        <v>0</v>
      </c>
      <c r="P37" s="182" t="s">
        <v>345</v>
      </c>
      <c r="Q37" s="179"/>
      <c r="R37" s="180"/>
      <c r="S37" s="180"/>
      <c r="T37" s="184"/>
      <c r="U37" s="179"/>
      <c r="V37" s="180"/>
      <c r="W37" s="180"/>
      <c r="X37" s="184"/>
      <c r="Y37" s="179"/>
      <c r="Z37" s="180"/>
    </row>
    <row r="38" spans="1:26" ht="10.5" customHeight="1">
      <c r="A38" s="180"/>
      <c r="B38" s="180"/>
      <c r="C38" s="180"/>
      <c r="D38" s="184"/>
      <c r="E38" s="179"/>
      <c r="F38" s="180"/>
      <c r="G38" s="180"/>
      <c r="H38" s="184"/>
      <c r="I38" s="183">
        <v>0</v>
      </c>
      <c r="J38" s="185">
        <f t="shared" si="8"/>
        <v>1</v>
      </c>
      <c r="K38" s="181">
        <v>2</v>
      </c>
      <c r="L38" s="182" t="s">
        <v>305</v>
      </c>
      <c r="M38" s="183">
        <v>8</v>
      </c>
      <c r="N38" s="185">
        <f t="shared" si="9"/>
        <v>256</v>
      </c>
      <c r="O38" s="185">
        <f>IF('Top Level'!G12&gt;32,1,0)</f>
        <v>0</v>
      </c>
      <c r="P38" s="182" t="s">
        <v>291</v>
      </c>
      <c r="Q38" s="179"/>
      <c r="R38" s="180"/>
      <c r="S38" s="180"/>
      <c r="T38" s="184"/>
      <c r="U38" s="179"/>
      <c r="V38" s="180"/>
      <c r="W38" s="180"/>
      <c r="X38" s="184"/>
      <c r="Y38" s="179"/>
      <c r="Z38" s="180"/>
    </row>
    <row r="39" spans="1:26" ht="10.5" customHeight="1">
      <c r="A39" s="180"/>
      <c r="B39" s="180"/>
      <c r="C39" s="180"/>
      <c r="D39" s="184"/>
      <c r="E39" s="179"/>
      <c r="F39" s="180"/>
      <c r="G39" s="180"/>
      <c r="H39" s="184"/>
      <c r="I39" s="179"/>
      <c r="J39" s="180"/>
      <c r="K39" s="180"/>
      <c r="L39" s="184"/>
      <c r="M39" s="183">
        <v>7</v>
      </c>
      <c r="N39" s="185">
        <f t="shared" si="9"/>
        <v>128</v>
      </c>
      <c r="O39" s="181">
        <v>0</v>
      </c>
      <c r="P39" s="182" t="s">
        <v>346</v>
      </c>
      <c r="Q39" s="179"/>
      <c r="R39" s="180"/>
      <c r="S39" s="180"/>
      <c r="T39" s="184"/>
      <c r="U39" s="179"/>
      <c r="V39" s="180"/>
      <c r="W39" s="180"/>
      <c r="X39" s="184"/>
      <c r="Y39" s="179"/>
      <c r="Z39" s="180"/>
    </row>
    <row r="40" spans="1:26" ht="10.5" customHeight="1">
      <c r="A40" s="180"/>
      <c r="B40" s="180"/>
      <c r="C40" s="180"/>
      <c r="D40" s="184"/>
      <c r="E40" s="179"/>
      <c r="F40" s="180"/>
      <c r="G40" s="180"/>
      <c r="H40" s="184"/>
      <c r="I40" s="179"/>
      <c r="J40" s="180"/>
      <c r="K40" s="180"/>
      <c r="L40" s="184"/>
      <c r="M40" s="183">
        <v>6</v>
      </c>
      <c r="N40" s="185">
        <f t="shared" si="9"/>
        <v>64</v>
      </c>
      <c r="O40" s="185">
        <f>IF('Top Level'!I9="pas flt",1,0)</f>
        <v>1</v>
      </c>
      <c r="P40" s="182" t="s">
        <v>323</v>
      </c>
      <c r="Q40" s="179"/>
      <c r="R40" s="180"/>
      <c r="S40" s="180"/>
      <c r="T40" s="184"/>
      <c r="U40" s="179"/>
      <c r="V40" s="180"/>
      <c r="W40" s="180"/>
      <c r="X40" s="184"/>
      <c r="Y40" s="179"/>
      <c r="Z40" s="180"/>
    </row>
    <row r="41" spans="1:26" ht="10.5" customHeight="1">
      <c r="A41" s="180"/>
      <c r="B41" s="180"/>
      <c r="C41" s="180"/>
      <c r="D41" s="184"/>
      <c r="E41" s="179"/>
      <c r="F41" s="180"/>
      <c r="G41" s="180"/>
      <c r="H41" s="184"/>
      <c r="I41" s="179"/>
      <c r="J41" s="180"/>
      <c r="K41" s="180"/>
      <c r="L41" s="184"/>
      <c r="M41" s="183">
        <v>5</v>
      </c>
      <c r="N41" s="185">
        <f t="shared" si="9"/>
        <v>32</v>
      </c>
      <c r="O41" s="181">
        <v>0</v>
      </c>
      <c r="P41" s="182" t="s">
        <v>347</v>
      </c>
      <c r="Q41" s="7"/>
      <c r="T41" s="9"/>
      <c r="U41" s="179"/>
      <c r="V41" s="180"/>
      <c r="W41" s="180"/>
      <c r="X41" s="184"/>
      <c r="Y41" s="179"/>
      <c r="Z41" s="180"/>
    </row>
    <row r="42" spans="1:26" ht="10.5" customHeight="1">
      <c r="A42" s="180"/>
      <c r="B42" s="180"/>
      <c r="C42" s="180"/>
      <c r="D42" s="184"/>
      <c r="E42" s="179"/>
      <c r="F42" s="180"/>
      <c r="G42" s="180"/>
      <c r="H42" s="184"/>
      <c r="I42" s="179"/>
      <c r="J42" s="180"/>
      <c r="K42" s="180"/>
      <c r="L42" s="184"/>
      <c r="M42" s="183">
        <v>4</v>
      </c>
      <c r="N42" s="185">
        <f t="shared" si="9"/>
        <v>16</v>
      </c>
      <c r="O42" s="181">
        <v>0</v>
      </c>
      <c r="P42" s="182" t="s">
        <v>348</v>
      </c>
      <c r="Q42" s="179"/>
      <c r="R42" s="180"/>
      <c r="S42" s="180"/>
      <c r="T42" s="184"/>
      <c r="U42" s="179"/>
      <c r="V42" s="180"/>
      <c r="W42" s="180"/>
      <c r="X42" s="184"/>
      <c r="Y42" s="179"/>
      <c r="Z42" s="180"/>
    </row>
    <row r="43" spans="1:26" ht="10.5" customHeight="1">
      <c r="A43" s="180"/>
      <c r="B43" s="180"/>
      <c r="C43" s="180"/>
      <c r="D43" s="184"/>
      <c r="E43" s="179"/>
      <c r="F43" s="180"/>
      <c r="G43" s="180"/>
      <c r="H43" s="184"/>
      <c r="I43" s="7"/>
      <c r="L43" s="9"/>
      <c r="M43" s="183">
        <v>3</v>
      </c>
      <c r="N43" s="185">
        <f t="shared" si="9"/>
        <v>8</v>
      </c>
      <c r="O43" s="181">
        <v>0</v>
      </c>
      <c r="P43" s="182" t="s">
        <v>349</v>
      </c>
      <c r="Q43" s="179"/>
      <c r="R43" s="180"/>
      <c r="S43" s="180"/>
      <c r="T43" s="184"/>
      <c r="U43" s="179"/>
      <c r="V43" s="180"/>
      <c r="W43" s="180"/>
      <c r="X43" s="184"/>
      <c r="Y43" s="179"/>
      <c r="Z43" s="180"/>
    </row>
    <row r="44" spans="1:26" ht="10.5" customHeight="1">
      <c r="A44" s="180"/>
      <c r="B44" s="180"/>
      <c r="C44" s="180"/>
      <c r="D44" s="184"/>
      <c r="E44" s="179"/>
      <c r="F44" s="180"/>
      <c r="G44" s="180"/>
      <c r="H44" s="184"/>
      <c r="I44" s="179"/>
      <c r="J44" s="180"/>
      <c r="K44" s="180"/>
      <c r="L44" s="184"/>
      <c r="M44" s="183">
        <v>0</v>
      </c>
      <c r="N44" s="185">
        <f t="shared" si="9"/>
        <v>1</v>
      </c>
      <c r="O44" s="181">
        <v>3</v>
      </c>
      <c r="P44" s="182" t="s">
        <v>305</v>
      </c>
      <c r="Q44" s="179"/>
      <c r="R44" s="180"/>
      <c r="S44" s="180"/>
      <c r="T44" s="184"/>
      <c r="U44" s="179"/>
      <c r="V44" s="180"/>
      <c r="W44" s="180"/>
      <c r="X44" s="184"/>
      <c r="Y44" s="179"/>
      <c r="Z44" s="180"/>
    </row>
    <row r="45" spans="1:26" ht="10.5" customHeight="1">
      <c r="A45" s="188"/>
      <c r="B45" s="188"/>
      <c r="C45" s="188"/>
      <c r="D45" s="189"/>
      <c r="E45" s="190"/>
      <c r="F45" s="188"/>
      <c r="G45" s="188"/>
      <c r="H45" s="189"/>
      <c r="I45" s="190"/>
      <c r="J45" s="188"/>
      <c r="K45" s="188"/>
      <c r="L45" s="189"/>
      <c r="M45" s="190"/>
      <c r="N45" s="188"/>
      <c r="O45" s="188"/>
      <c r="P45" s="189"/>
      <c r="Q45" s="190"/>
      <c r="R45" s="188"/>
      <c r="S45" s="188"/>
      <c r="T45" s="189"/>
      <c r="U45" s="190"/>
      <c r="V45" s="188"/>
      <c r="W45" s="188"/>
      <c r="X45" s="189"/>
      <c r="Y45" s="179"/>
      <c r="Z45" s="180"/>
    </row>
    <row r="46" spans="1:26" ht="10.5" customHeight="1">
      <c r="A46" s="180"/>
      <c r="B46" s="185">
        <f>B29*C29+B30*C30+B31*C31+B33*C33+B33*C33+B34*C34+B35*C35+B36*C36+B37*C37+B38*C38+B39*C39+B40*C40+B41*C41+B42*C42+B43*C43</f>
        <v>50429952</v>
      </c>
      <c r="C46" s="180"/>
      <c r="D46" s="184"/>
      <c r="E46" s="179"/>
      <c r="F46" s="185">
        <f>F29*G29+F30*G30+F31*G31+F32*G32+F33*G33+F34*G34+F35*G35+F36*G36+F37*G37+F38*G38+F39*G39+F40*G40+F41*G41+F42*G42+F43*G43</f>
        <v>9</v>
      </c>
      <c r="G46" s="180"/>
      <c r="H46" s="184"/>
      <c r="I46" s="179"/>
      <c r="J46" s="185">
        <f>J29*K29+J30*K30+J31*K31+J32*K32+J33*K33+J34*K34+J35*K35+J36*K36+J37*K37+J38*K38+J39*K39+J40*K40+J41*K41+J42*K42</f>
        <v>1091076090</v>
      </c>
      <c r="K46" s="180"/>
      <c r="L46" s="184"/>
      <c r="M46" s="179"/>
      <c r="N46" s="185">
        <f>N29*O29+N30*O30+N31*O31+N32*O32+N33*O33+N34*O34+N35*O35+N36*O36+N37*O37+N38*O38+N39*O39+N40*O40+N41*O41+N42*O42+N43*O43+N44*O44</f>
        <v>4163</v>
      </c>
      <c r="O46" s="180"/>
      <c r="P46" s="184"/>
      <c r="Q46" s="179"/>
      <c r="R46" s="185" t="e">
        <f>R29*S29+R30*S30+R31*S31+R32*S32+R33*S33+R34*S34+R35*S35+R36*S36+R37*S37+R38*S38+R39*S39+R40*S40</f>
        <v>#VALUE!</v>
      </c>
      <c r="S46" s="180"/>
      <c r="T46" s="184"/>
      <c r="U46" s="179"/>
      <c r="V46" s="180"/>
      <c r="W46" s="180"/>
      <c r="X46" s="184"/>
      <c r="Y46" s="179"/>
      <c r="Z46" s="180"/>
    </row>
    <row r="47" spans="1:26" ht="10.5" customHeight="1">
      <c r="A47" s="471" t="str">
        <f>DEC2HEX(B46,8)</f>
        <v>03018000</v>
      </c>
      <c r="B47" s="472"/>
      <c r="C47" s="472"/>
      <c r="D47" s="191" t="s">
        <v>329</v>
      </c>
      <c r="E47" s="471" t="str">
        <f>DEC2HEX(F46,8)</f>
        <v>00000009</v>
      </c>
      <c r="F47" s="472"/>
      <c r="G47" s="472"/>
      <c r="H47" s="191" t="s">
        <v>329</v>
      </c>
      <c r="I47" s="471" t="str">
        <f>DEC2HEX(J46,8)</f>
        <v>41087FFA</v>
      </c>
      <c r="J47" s="472"/>
      <c r="K47" s="472"/>
      <c r="L47" s="191" t="s">
        <v>329</v>
      </c>
      <c r="M47" s="471" t="str">
        <f>DEC2HEX(N46,8)</f>
        <v>00001043</v>
      </c>
      <c r="N47" s="472"/>
      <c r="O47" s="472"/>
      <c r="P47" s="191" t="s">
        <v>329</v>
      </c>
      <c r="Q47" s="471" t="e">
        <f>DEC2HEX(R46,8)</f>
        <v>#VALUE!</v>
      </c>
      <c r="R47" s="472"/>
      <c r="S47" s="472"/>
      <c r="T47" s="194"/>
      <c r="U47" s="471"/>
      <c r="V47" s="472"/>
      <c r="W47" s="472"/>
      <c r="X47" s="192"/>
      <c r="Y47" s="179"/>
      <c r="Z47" s="180"/>
    </row>
    <row r="48" spans="1:26" ht="10.5" customHeight="1">
      <c r="A48" s="469" t="str">
        <f>CONCATENATE(A47:W47)</f>
        <v>03018000</v>
      </c>
      <c r="B48" s="463"/>
      <c r="C48" s="463"/>
      <c r="D48" s="463"/>
      <c r="E48" s="463"/>
      <c r="F48" s="463"/>
      <c r="G48" s="463"/>
      <c r="H48" s="463"/>
      <c r="I48" s="463"/>
      <c r="J48" s="463"/>
      <c r="K48" s="463"/>
      <c r="L48" s="463"/>
      <c r="M48" s="463"/>
      <c r="N48" s="463"/>
      <c r="O48" s="463"/>
      <c r="P48" s="463"/>
      <c r="Q48" s="463"/>
      <c r="R48" s="463"/>
      <c r="S48" s="463"/>
      <c r="T48" s="463"/>
      <c r="U48" s="463"/>
      <c r="V48" s="463"/>
      <c r="W48" s="463"/>
      <c r="X48" s="464"/>
      <c r="Y48" s="179"/>
      <c r="Z48" s="180"/>
    </row>
    <row r="49" spans="1:26" ht="10.5" customHeight="1">
      <c r="A49" s="176"/>
      <c r="B49" s="176"/>
      <c r="C49" s="176"/>
      <c r="D49" s="177"/>
      <c r="E49" s="193"/>
      <c r="F49" s="176"/>
      <c r="G49" s="176"/>
      <c r="H49" s="177"/>
      <c r="I49" s="193"/>
      <c r="J49" s="176"/>
      <c r="K49" s="176"/>
      <c r="L49" s="177"/>
      <c r="M49" s="193"/>
      <c r="N49" s="176"/>
      <c r="O49" s="176"/>
      <c r="P49" s="177"/>
      <c r="Q49" s="193"/>
      <c r="R49" s="176"/>
      <c r="S49" s="176"/>
      <c r="T49" s="177"/>
      <c r="U49" s="193"/>
      <c r="V49" s="176"/>
      <c r="W49" s="176"/>
      <c r="X49" s="177"/>
      <c r="Y49" s="179"/>
      <c r="Z49" s="180"/>
    </row>
    <row r="50" spans="1:26" ht="10.5" customHeight="1">
      <c r="A50" s="180"/>
      <c r="B50" s="180"/>
      <c r="C50" s="180"/>
      <c r="D50" s="184"/>
      <c r="E50" s="179"/>
      <c r="F50" s="180"/>
      <c r="G50" s="180"/>
      <c r="H50" s="184"/>
      <c r="I50" s="179"/>
      <c r="J50" s="180"/>
      <c r="K50" s="180"/>
      <c r="L50" s="184"/>
      <c r="M50" s="179"/>
      <c r="N50" s="180"/>
      <c r="O50" s="180"/>
      <c r="P50" s="184"/>
      <c r="Q50" s="179"/>
      <c r="R50" s="180"/>
      <c r="S50" s="180"/>
      <c r="T50" s="184"/>
      <c r="U50" s="179"/>
      <c r="V50" s="180"/>
      <c r="W50" s="180"/>
      <c r="X50" s="184"/>
      <c r="Y50" s="179"/>
      <c r="Z50" s="180"/>
    </row>
    <row r="51" spans="1:26" ht="10.5" customHeight="1">
      <c r="A51" s="180"/>
      <c r="B51" s="180"/>
      <c r="C51" s="180"/>
      <c r="D51" s="184"/>
      <c r="E51" s="179"/>
      <c r="F51" s="180"/>
      <c r="G51" s="180"/>
      <c r="H51" s="184"/>
      <c r="I51" s="179"/>
      <c r="J51" s="180"/>
      <c r="K51" s="180"/>
      <c r="L51" s="184"/>
      <c r="M51" s="179"/>
      <c r="N51" s="180"/>
      <c r="O51" s="180"/>
      <c r="P51" s="184"/>
      <c r="Q51" s="179"/>
      <c r="R51" s="180"/>
      <c r="S51" s="180"/>
      <c r="T51" s="184"/>
      <c r="U51" s="179"/>
      <c r="V51" s="180"/>
      <c r="W51" s="180"/>
      <c r="X51" s="184"/>
      <c r="Y51" s="179"/>
      <c r="Z51" s="180"/>
    </row>
    <row r="52" spans="1:26" ht="10.5" customHeight="1">
      <c r="A52" s="180"/>
      <c r="B52" s="180"/>
      <c r="C52" s="180"/>
      <c r="D52" s="184"/>
      <c r="E52" s="179"/>
      <c r="F52" s="180"/>
      <c r="G52" s="180"/>
      <c r="H52" s="184"/>
      <c r="I52" s="179"/>
      <c r="J52" s="180"/>
      <c r="K52" s="180"/>
      <c r="L52" s="184"/>
      <c r="M52" s="179"/>
      <c r="N52" s="180"/>
      <c r="O52" s="180"/>
      <c r="P52" s="184"/>
      <c r="Q52" s="179"/>
      <c r="R52" s="180"/>
      <c r="S52" s="180"/>
      <c r="T52" s="184"/>
      <c r="U52" s="179"/>
      <c r="V52" s="180"/>
      <c r="W52" s="180"/>
      <c r="X52" s="184"/>
      <c r="Y52" s="179"/>
      <c r="Z52" s="180"/>
    </row>
    <row r="53" spans="1:26" ht="10.5" customHeight="1">
      <c r="A53" s="180"/>
      <c r="B53" s="180"/>
      <c r="C53" s="180"/>
      <c r="D53" s="184"/>
      <c r="E53" s="179"/>
      <c r="F53" s="180"/>
      <c r="G53" s="180"/>
      <c r="H53" s="184"/>
      <c r="I53" s="179"/>
      <c r="J53" s="180"/>
      <c r="K53" s="180"/>
      <c r="L53" s="184"/>
      <c r="M53" s="179"/>
      <c r="N53" s="180"/>
      <c r="O53" s="180"/>
      <c r="P53" s="184"/>
      <c r="Q53" s="179"/>
      <c r="R53" s="180"/>
      <c r="S53" s="180"/>
      <c r="T53" s="184"/>
      <c r="U53" s="179"/>
      <c r="V53" s="180"/>
      <c r="W53" s="180"/>
      <c r="X53" s="184"/>
      <c r="Y53" s="179"/>
      <c r="Z53" s="180"/>
    </row>
    <row r="54" spans="1:26" ht="10.5" customHeight="1">
      <c r="A54" s="180"/>
      <c r="B54" s="180"/>
      <c r="C54" s="180"/>
      <c r="D54" s="184"/>
      <c r="E54" s="179"/>
      <c r="F54" s="180"/>
      <c r="G54" s="180"/>
      <c r="H54" s="184"/>
      <c r="I54" s="179"/>
      <c r="J54" s="180"/>
      <c r="K54" s="180"/>
      <c r="L54" s="184"/>
      <c r="M54" s="179"/>
      <c r="N54" s="180"/>
      <c r="O54" s="180"/>
      <c r="P54" s="184"/>
      <c r="Q54" s="179"/>
      <c r="R54" s="180"/>
      <c r="S54" s="180"/>
      <c r="T54" s="184"/>
      <c r="U54" s="179"/>
      <c r="V54" s="180"/>
      <c r="W54" s="180"/>
      <c r="X54" s="184"/>
      <c r="Y54" s="179"/>
      <c r="Z54" s="180"/>
    </row>
    <row r="55" spans="1:26" ht="10.5" customHeight="1">
      <c r="A55" s="180"/>
      <c r="B55" s="180"/>
      <c r="C55" s="180"/>
      <c r="D55" s="184"/>
      <c r="E55" s="179"/>
      <c r="F55" s="180"/>
      <c r="G55" s="180"/>
      <c r="H55" s="184"/>
      <c r="I55" s="179"/>
      <c r="J55" s="180"/>
      <c r="K55" s="180"/>
      <c r="L55" s="184"/>
      <c r="M55" s="179"/>
      <c r="N55" s="180"/>
      <c r="O55" s="180"/>
      <c r="P55" s="184"/>
      <c r="Q55" s="179"/>
      <c r="R55" s="180"/>
      <c r="S55" s="180"/>
      <c r="T55" s="184"/>
      <c r="U55" s="179"/>
      <c r="V55" s="180"/>
      <c r="W55" s="180"/>
      <c r="X55" s="184"/>
      <c r="Y55" s="179"/>
      <c r="Z55" s="180"/>
    </row>
    <row r="56" spans="1:26" ht="10.5" customHeight="1">
      <c r="A56" s="180"/>
      <c r="B56" s="180"/>
      <c r="C56" s="180"/>
      <c r="D56" s="184"/>
      <c r="E56" s="179"/>
      <c r="F56" s="180"/>
      <c r="G56" s="180"/>
      <c r="H56" s="184"/>
      <c r="I56" s="179"/>
      <c r="J56" s="180"/>
      <c r="K56" s="180"/>
      <c r="L56" s="184"/>
      <c r="M56" s="179"/>
      <c r="N56" s="180"/>
      <c r="O56" s="180"/>
      <c r="P56" s="184"/>
      <c r="Q56" s="179"/>
      <c r="R56" s="180"/>
      <c r="S56" s="180"/>
      <c r="T56" s="184"/>
      <c r="U56" s="179"/>
      <c r="V56" s="180"/>
      <c r="W56" s="180"/>
      <c r="X56" s="184"/>
      <c r="Y56" s="179"/>
      <c r="Z56" s="180"/>
    </row>
    <row r="57" spans="1:26" ht="10.5" customHeight="1">
      <c r="A57" s="180"/>
      <c r="B57" s="180"/>
      <c r="C57" s="180"/>
      <c r="D57" s="184"/>
      <c r="E57" s="179"/>
      <c r="F57" s="180"/>
      <c r="G57" s="180"/>
      <c r="H57" s="184"/>
      <c r="I57" s="179"/>
      <c r="J57" s="180"/>
      <c r="K57" s="180"/>
      <c r="L57" s="184"/>
      <c r="M57" s="179"/>
      <c r="N57" s="180"/>
      <c r="O57" s="180"/>
      <c r="P57" s="184"/>
      <c r="Q57" s="179"/>
      <c r="R57" s="180"/>
      <c r="S57" s="180"/>
      <c r="T57" s="184"/>
      <c r="U57" s="179"/>
      <c r="V57" s="180"/>
      <c r="W57" s="180"/>
      <c r="X57" s="184"/>
      <c r="Y57" s="179"/>
      <c r="Z57" s="180"/>
    </row>
    <row r="58" spans="1:26" ht="10.5" customHeight="1">
      <c r="A58" s="180"/>
      <c r="B58" s="180"/>
      <c r="C58" s="180"/>
      <c r="D58" s="184"/>
      <c r="E58" s="179"/>
      <c r="F58" s="180"/>
      <c r="G58" s="180"/>
      <c r="H58" s="184"/>
      <c r="I58" s="179"/>
      <c r="J58" s="180"/>
      <c r="K58" s="180"/>
      <c r="L58" s="184"/>
      <c r="M58" s="179"/>
      <c r="N58" s="180"/>
      <c r="O58" s="180"/>
      <c r="P58" s="184"/>
      <c r="Q58" s="179"/>
      <c r="R58" s="180"/>
      <c r="S58" s="180"/>
      <c r="T58" s="184"/>
      <c r="U58" s="179"/>
      <c r="V58" s="180"/>
      <c r="W58" s="180"/>
      <c r="X58" s="184"/>
      <c r="Y58" s="179"/>
      <c r="Z58" s="180"/>
    </row>
    <row r="59" spans="1:26" ht="10.5" customHeight="1">
      <c r="A59" s="180"/>
      <c r="B59" s="180"/>
      <c r="C59" s="180"/>
      <c r="D59" s="184"/>
      <c r="E59" s="179"/>
      <c r="F59" s="180"/>
      <c r="G59" s="180"/>
      <c r="H59" s="184"/>
      <c r="I59" s="179"/>
      <c r="J59" s="180"/>
      <c r="K59" s="180"/>
      <c r="L59" s="184"/>
      <c r="M59" s="179"/>
      <c r="N59" s="180"/>
      <c r="O59" s="180"/>
      <c r="P59" s="184"/>
      <c r="Q59" s="179"/>
      <c r="R59" s="180"/>
      <c r="S59" s="180"/>
      <c r="T59" s="184"/>
      <c r="U59" s="179"/>
      <c r="V59" s="180"/>
      <c r="W59" s="180"/>
      <c r="X59" s="184"/>
      <c r="Y59" s="179"/>
      <c r="Z59" s="180"/>
    </row>
    <row r="60" spans="1:26" ht="10.5" customHeight="1">
      <c r="A60" s="180"/>
      <c r="B60" s="180"/>
      <c r="C60" s="180"/>
      <c r="D60" s="184"/>
      <c r="E60" s="179"/>
      <c r="F60" s="180"/>
      <c r="G60" s="180"/>
      <c r="H60" s="184"/>
      <c r="I60" s="179"/>
      <c r="J60" s="180"/>
      <c r="K60" s="180"/>
      <c r="L60" s="184"/>
      <c r="M60" s="179"/>
      <c r="N60" s="180"/>
      <c r="O60" s="180"/>
      <c r="P60" s="184"/>
      <c r="Q60" s="179"/>
      <c r="R60" s="180"/>
      <c r="S60" s="180"/>
      <c r="T60" s="184"/>
      <c r="U60" s="179"/>
      <c r="V60" s="180"/>
      <c r="W60" s="180"/>
      <c r="X60" s="184"/>
      <c r="Y60" s="179"/>
      <c r="Z60" s="180"/>
    </row>
    <row r="61" spans="1:26" ht="10.5" customHeight="1">
      <c r="A61" s="180"/>
      <c r="B61" s="180"/>
      <c r="C61" s="180"/>
      <c r="D61" s="184"/>
      <c r="E61" s="179"/>
      <c r="F61" s="180"/>
      <c r="G61" s="180"/>
      <c r="H61" s="184"/>
      <c r="I61" s="179"/>
      <c r="J61" s="180"/>
      <c r="K61" s="180"/>
      <c r="L61" s="184"/>
      <c r="M61" s="179"/>
      <c r="N61" s="180"/>
      <c r="O61" s="180"/>
      <c r="P61" s="184"/>
      <c r="Q61" s="179"/>
      <c r="R61" s="180"/>
      <c r="S61" s="180"/>
      <c r="T61" s="184"/>
      <c r="U61" s="179"/>
      <c r="V61" s="180"/>
      <c r="W61" s="180"/>
      <c r="X61" s="184"/>
      <c r="Y61" s="179"/>
      <c r="Z61" s="180"/>
    </row>
    <row r="62" spans="1:26" ht="10.5" customHeight="1">
      <c r="A62" s="180"/>
      <c r="B62" s="180"/>
      <c r="C62" s="180"/>
      <c r="D62" s="184"/>
      <c r="E62" s="179"/>
      <c r="F62" s="180"/>
      <c r="G62" s="180"/>
      <c r="H62" s="184"/>
      <c r="I62" s="179"/>
      <c r="J62" s="180"/>
      <c r="K62" s="180"/>
      <c r="L62" s="184"/>
      <c r="M62" s="179"/>
      <c r="N62" s="180"/>
      <c r="O62" s="180"/>
      <c r="P62" s="184"/>
      <c r="Q62" s="179"/>
      <c r="R62" s="180"/>
      <c r="S62" s="180"/>
      <c r="T62" s="184"/>
      <c r="U62" s="179"/>
      <c r="V62" s="180"/>
      <c r="W62" s="180"/>
      <c r="X62" s="184"/>
      <c r="Y62" s="179"/>
      <c r="Z62" s="180"/>
    </row>
    <row r="63" spans="1:26" ht="10.5" customHeight="1">
      <c r="A63" s="180"/>
      <c r="B63" s="180"/>
      <c r="C63" s="180"/>
      <c r="D63" s="184"/>
      <c r="E63" s="179"/>
      <c r="F63" s="180"/>
      <c r="G63" s="180"/>
      <c r="H63" s="184"/>
      <c r="I63" s="179"/>
      <c r="J63" s="180"/>
      <c r="K63" s="180"/>
      <c r="L63" s="184"/>
      <c r="M63" s="179"/>
      <c r="N63" s="180"/>
      <c r="O63" s="180"/>
      <c r="P63" s="184"/>
      <c r="Q63" s="179"/>
      <c r="R63" s="180"/>
      <c r="S63" s="180"/>
      <c r="T63" s="184"/>
      <c r="U63" s="179"/>
      <c r="V63" s="180"/>
      <c r="W63" s="180"/>
      <c r="X63" s="184"/>
      <c r="Y63" s="179"/>
      <c r="Z63" s="180"/>
    </row>
    <row r="64" spans="1:26" ht="10.5" customHeight="1">
      <c r="A64" s="180"/>
      <c r="B64" s="180"/>
      <c r="C64" s="180"/>
      <c r="D64" s="184"/>
      <c r="E64" s="179"/>
      <c r="F64" s="180"/>
      <c r="G64" s="180"/>
      <c r="H64" s="184"/>
      <c r="I64" s="179"/>
      <c r="J64" s="180"/>
      <c r="K64" s="180"/>
      <c r="L64" s="184"/>
      <c r="M64" s="179"/>
      <c r="N64" s="180"/>
      <c r="O64" s="180"/>
      <c r="P64" s="184"/>
      <c r="Q64" s="179"/>
      <c r="R64" s="180"/>
      <c r="S64" s="180"/>
      <c r="T64" s="184"/>
      <c r="U64" s="179"/>
      <c r="V64" s="180"/>
      <c r="W64" s="180"/>
      <c r="X64" s="184"/>
      <c r="Y64" s="179"/>
      <c r="Z64" s="180"/>
    </row>
    <row r="65" spans="1:26" ht="10.5" customHeight="1">
      <c r="A65" s="180"/>
      <c r="B65" s="180"/>
      <c r="C65" s="180"/>
      <c r="D65" s="184"/>
      <c r="E65" s="179"/>
      <c r="F65" s="180"/>
      <c r="G65" s="180"/>
      <c r="H65" s="184"/>
      <c r="I65" s="179"/>
      <c r="J65" s="180"/>
      <c r="K65" s="180"/>
      <c r="L65" s="184"/>
      <c r="M65" s="179"/>
      <c r="N65" s="180"/>
      <c r="O65" s="180"/>
      <c r="P65" s="184"/>
      <c r="Q65" s="179"/>
      <c r="R65" s="180"/>
      <c r="S65" s="180"/>
      <c r="T65" s="184"/>
      <c r="U65" s="179"/>
      <c r="V65" s="180"/>
      <c r="W65" s="180"/>
      <c r="X65" s="184"/>
      <c r="Y65" s="179"/>
      <c r="Z65" s="180"/>
    </row>
    <row r="66" spans="1:26" ht="10.5" customHeight="1">
      <c r="A66" s="180"/>
      <c r="B66" s="180"/>
      <c r="C66" s="180"/>
      <c r="D66" s="184"/>
      <c r="E66" s="179"/>
      <c r="F66" s="180"/>
      <c r="G66" s="180"/>
      <c r="H66" s="184"/>
      <c r="I66" s="179"/>
      <c r="J66" s="180"/>
      <c r="K66" s="180"/>
      <c r="L66" s="184"/>
      <c r="M66" s="179"/>
      <c r="N66" s="180"/>
      <c r="O66" s="180"/>
      <c r="P66" s="184"/>
      <c r="Q66" s="179"/>
      <c r="R66" s="180"/>
      <c r="S66" s="180"/>
      <c r="T66" s="184"/>
      <c r="U66" s="179"/>
      <c r="V66" s="180"/>
      <c r="W66" s="180"/>
      <c r="X66" s="184"/>
      <c r="Y66" s="179"/>
      <c r="Z66" s="180"/>
    </row>
    <row r="67" spans="1:26" ht="10.5" customHeight="1">
      <c r="A67" s="180"/>
      <c r="B67" s="180"/>
      <c r="C67" s="180"/>
      <c r="D67" s="184"/>
      <c r="E67" s="179"/>
      <c r="F67" s="180"/>
      <c r="G67" s="180"/>
      <c r="H67" s="184"/>
      <c r="I67" s="179"/>
      <c r="J67" s="180"/>
      <c r="K67" s="180"/>
      <c r="L67" s="184"/>
      <c r="M67" s="179"/>
      <c r="N67" s="180"/>
      <c r="O67" s="180"/>
      <c r="P67" s="184"/>
      <c r="Q67" s="179"/>
      <c r="R67" s="180"/>
      <c r="S67" s="180"/>
      <c r="T67" s="184"/>
      <c r="U67" s="179"/>
      <c r="V67" s="180"/>
      <c r="W67" s="180"/>
      <c r="X67" s="184"/>
      <c r="Y67" s="179"/>
      <c r="Z67" s="180"/>
    </row>
    <row r="68" spans="1:26" ht="10.5" customHeight="1">
      <c r="A68" s="180"/>
      <c r="B68" s="180"/>
      <c r="C68" s="180"/>
      <c r="D68" s="184"/>
      <c r="E68" s="179"/>
      <c r="F68" s="180"/>
      <c r="G68" s="180"/>
      <c r="H68" s="184"/>
      <c r="I68" s="179"/>
      <c r="J68" s="180"/>
      <c r="K68" s="180"/>
      <c r="L68" s="184"/>
      <c r="M68" s="179"/>
      <c r="N68" s="180"/>
      <c r="O68" s="180"/>
      <c r="P68" s="184"/>
      <c r="Q68" s="179"/>
      <c r="R68" s="180"/>
      <c r="S68" s="180"/>
      <c r="T68" s="184"/>
      <c r="U68" s="179"/>
      <c r="V68" s="180"/>
      <c r="W68" s="180"/>
      <c r="X68" s="184"/>
      <c r="Y68" s="179"/>
      <c r="Z68" s="180"/>
    </row>
    <row r="69" spans="1:26" ht="10.5" customHeight="1">
      <c r="A69" s="180"/>
      <c r="B69" s="180"/>
      <c r="C69" s="180"/>
      <c r="D69" s="184"/>
      <c r="E69" s="179"/>
      <c r="F69" s="180"/>
      <c r="G69" s="180"/>
      <c r="H69" s="184"/>
      <c r="I69" s="179"/>
      <c r="J69" s="180"/>
      <c r="K69" s="180"/>
      <c r="L69" s="184"/>
      <c r="M69" s="179"/>
      <c r="N69" s="180"/>
      <c r="O69" s="180"/>
      <c r="P69" s="184"/>
      <c r="Q69" s="179"/>
      <c r="R69" s="180"/>
      <c r="S69" s="180"/>
      <c r="T69" s="184"/>
      <c r="U69" s="179"/>
      <c r="V69" s="180"/>
      <c r="W69" s="180"/>
      <c r="X69" s="184"/>
      <c r="Y69" s="179"/>
      <c r="Z69" s="180"/>
    </row>
    <row r="70" spans="1:26" ht="10.5" customHeight="1">
      <c r="A70" s="180"/>
      <c r="B70" s="180"/>
      <c r="C70" s="180"/>
      <c r="D70" s="184"/>
      <c r="E70" s="179"/>
      <c r="F70" s="180"/>
      <c r="G70" s="180"/>
      <c r="H70" s="184"/>
      <c r="I70" s="179"/>
      <c r="J70" s="180"/>
      <c r="K70" s="180"/>
      <c r="L70" s="184"/>
      <c r="M70" s="179"/>
      <c r="N70" s="180"/>
      <c r="O70" s="180"/>
      <c r="P70" s="184"/>
      <c r="Q70" s="179"/>
      <c r="R70" s="180"/>
      <c r="S70" s="180"/>
      <c r="T70" s="184"/>
      <c r="U70" s="179"/>
      <c r="V70" s="180"/>
      <c r="W70" s="180"/>
      <c r="X70" s="184"/>
      <c r="Y70" s="179"/>
      <c r="Z70" s="180"/>
    </row>
    <row r="71" spans="1:26" ht="10.5" customHeight="1">
      <c r="A71" s="180"/>
      <c r="B71" s="180"/>
      <c r="C71" s="180"/>
      <c r="D71" s="184"/>
      <c r="E71" s="179"/>
      <c r="F71" s="180"/>
      <c r="G71" s="180"/>
      <c r="H71" s="184"/>
      <c r="I71" s="179"/>
      <c r="J71" s="180"/>
      <c r="K71" s="180"/>
      <c r="L71" s="184"/>
      <c r="M71" s="179"/>
      <c r="N71" s="180"/>
      <c r="O71" s="180"/>
      <c r="P71" s="184"/>
      <c r="Q71" s="179"/>
      <c r="R71" s="180"/>
      <c r="S71" s="180"/>
      <c r="T71" s="184"/>
      <c r="U71" s="179"/>
      <c r="V71" s="180"/>
      <c r="W71" s="180"/>
      <c r="X71" s="184"/>
      <c r="Y71" s="179"/>
      <c r="Z71" s="180"/>
    </row>
    <row r="72" spans="1:26" ht="10.5" customHeight="1">
      <c r="A72" s="180"/>
      <c r="B72" s="180"/>
      <c r="C72" s="180"/>
      <c r="D72" s="184"/>
      <c r="E72" s="179"/>
      <c r="F72" s="180"/>
      <c r="G72" s="180"/>
      <c r="H72" s="184"/>
      <c r="I72" s="179"/>
      <c r="J72" s="180"/>
      <c r="K72" s="180"/>
      <c r="L72" s="184"/>
      <c r="M72" s="179"/>
      <c r="N72" s="180"/>
      <c r="O72" s="180"/>
      <c r="P72" s="184"/>
      <c r="Q72" s="179"/>
      <c r="R72" s="180"/>
      <c r="S72" s="180"/>
      <c r="T72" s="184"/>
      <c r="U72" s="179"/>
      <c r="V72" s="180"/>
      <c r="W72" s="180"/>
      <c r="X72" s="184"/>
      <c r="Y72" s="179"/>
      <c r="Z72" s="180"/>
    </row>
    <row r="73" spans="1:26" ht="10.5" customHeight="1">
      <c r="A73" s="180"/>
      <c r="B73" s="180"/>
      <c r="C73" s="180"/>
      <c r="D73" s="184"/>
      <c r="E73" s="179"/>
      <c r="F73" s="180"/>
      <c r="G73" s="180"/>
      <c r="H73" s="184"/>
      <c r="I73" s="179"/>
      <c r="J73" s="180"/>
      <c r="K73" s="180"/>
      <c r="L73" s="184"/>
      <c r="M73" s="179"/>
      <c r="N73" s="180"/>
      <c r="O73" s="180"/>
      <c r="P73" s="184"/>
      <c r="Q73" s="179"/>
      <c r="R73" s="180"/>
      <c r="S73" s="180"/>
      <c r="T73" s="184"/>
      <c r="U73" s="179"/>
      <c r="V73" s="180"/>
      <c r="W73" s="180"/>
      <c r="X73" s="184"/>
      <c r="Y73" s="179"/>
      <c r="Z73" s="180"/>
    </row>
    <row r="74" spans="1:26" ht="10.5" customHeight="1">
      <c r="A74" s="180"/>
      <c r="B74" s="180"/>
      <c r="C74" s="180"/>
      <c r="D74" s="184"/>
      <c r="E74" s="179"/>
      <c r="F74" s="180"/>
      <c r="G74" s="180"/>
      <c r="H74" s="184"/>
      <c r="I74" s="179"/>
      <c r="J74" s="180"/>
      <c r="K74" s="180"/>
      <c r="L74" s="184"/>
      <c r="M74" s="179"/>
      <c r="N74" s="180"/>
      <c r="O74" s="180"/>
      <c r="P74" s="184"/>
      <c r="Q74" s="179"/>
      <c r="R74" s="180"/>
      <c r="S74" s="180"/>
      <c r="T74" s="184"/>
      <c r="U74" s="179"/>
      <c r="V74" s="180"/>
      <c r="W74" s="180"/>
      <c r="X74" s="184"/>
      <c r="Y74" s="179"/>
      <c r="Z74" s="180"/>
    </row>
    <row r="75" spans="1:26" ht="10.5" customHeight="1">
      <c r="A75" s="180"/>
      <c r="B75" s="180"/>
      <c r="C75" s="180"/>
      <c r="D75" s="184"/>
      <c r="E75" s="179"/>
      <c r="F75" s="180"/>
      <c r="G75" s="180"/>
      <c r="H75" s="184"/>
      <c r="I75" s="179"/>
      <c r="J75" s="180"/>
      <c r="K75" s="180"/>
      <c r="L75" s="184"/>
      <c r="M75" s="179"/>
      <c r="N75" s="180"/>
      <c r="O75" s="180"/>
      <c r="P75" s="184"/>
      <c r="Q75" s="179"/>
      <c r="R75" s="180"/>
      <c r="S75" s="180"/>
      <c r="T75" s="184"/>
      <c r="U75" s="179"/>
      <c r="V75" s="180"/>
      <c r="W75" s="180"/>
      <c r="X75" s="184"/>
      <c r="Y75" s="179"/>
      <c r="Z75" s="180"/>
    </row>
    <row r="76" spans="1:26" ht="10.5" customHeight="1">
      <c r="A76" s="180"/>
      <c r="B76" s="180"/>
      <c r="C76" s="180"/>
      <c r="D76" s="184"/>
      <c r="E76" s="179"/>
      <c r="F76" s="180"/>
      <c r="G76" s="180"/>
      <c r="H76" s="184"/>
      <c r="I76" s="179"/>
      <c r="J76" s="180"/>
      <c r="K76" s="180"/>
      <c r="L76" s="184"/>
      <c r="M76" s="179"/>
      <c r="N76" s="180"/>
      <c r="O76" s="180"/>
      <c r="P76" s="184"/>
      <c r="Q76" s="179"/>
      <c r="R76" s="180"/>
      <c r="S76" s="180"/>
      <c r="T76" s="184"/>
      <c r="U76" s="179"/>
      <c r="V76" s="180"/>
      <c r="W76" s="180"/>
      <c r="X76" s="184"/>
      <c r="Y76" s="179"/>
      <c r="Z76" s="180"/>
    </row>
    <row r="77" spans="1:26" ht="10.5" customHeight="1">
      <c r="A77" s="180"/>
      <c r="B77" s="180"/>
      <c r="C77" s="180"/>
      <c r="D77" s="184"/>
      <c r="E77" s="179"/>
      <c r="F77" s="180"/>
      <c r="G77" s="180"/>
      <c r="H77" s="184"/>
      <c r="I77" s="179"/>
      <c r="J77" s="180"/>
      <c r="K77" s="180"/>
      <c r="L77" s="184"/>
      <c r="M77" s="179"/>
      <c r="N77" s="180"/>
      <c r="O77" s="180"/>
      <c r="P77" s="184"/>
      <c r="Q77" s="179"/>
      <c r="R77" s="180"/>
      <c r="S77" s="180"/>
      <c r="T77" s="184"/>
      <c r="U77" s="179"/>
      <c r="V77" s="180"/>
      <c r="W77" s="180"/>
      <c r="X77" s="184"/>
      <c r="Y77" s="179"/>
      <c r="Z77" s="180"/>
    </row>
    <row r="78" spans="1:26" ht="10.5" customHeight="1">
      <c r="A78" s="180"/>
      <c r="B78" s="180"/>
      <c r="C78" s="180"/>
      <c r="D78" s="184"/>
      <c r="E78" s="179"/>
      <c r="F78" s="180"/>
      <c r="G78" s="180"/>
      <c r="H78" s="184"/>
      <c r="I78" s="179"/>
      <c r="J78" s="180"/>
      <c r="K78" s="180"/>
      <c r="L78" s="184"/>
      <c r="M78" s="179"/>
      <c r="N78" s="180"/>
      <c r="O78" s="180"/>
      <c r="P78" s="184"/>
      <c r="Q78" s="179"/>
      <c r="R78" s="180"/>
      <c r="S78" s="180"/>
      <c r="T78" s="184"/>
      <c r="U78" s="179"/>
      <c r="V78" s="180"/>
      <c r="W78" s="180"/>
      <c r="X78" s="184"/>
      <c r="Y78" s="179"/>
      <c r="Z78" s="180"/>
    </row>
    <row r="79" spans="1:26" ht="10.5" customHeight="1">
      <c r="A79" s="180"/>
      <c r="B79" s="180"/>
      <c r="C79" s="180"/>
      <c r="D79" s="184"/>
      <c r="E79" s="179"/>
      <c r="F79" s="180"/>
      <c r="G79" s="180"/>
      <c r="H79" s="184"/>
      <c r="I79" s="179"/>
      <c r="J79" s="180"/>
      <c r="K79" s="180"/>
      <c r="L79" s="184"/>
      <c r="M79" s="179"/>
      <c r="N79" s="180"/>
      <c r="O79" s="180"/>
      <c r="P79" s="184"/>
      <c r="Q79" s="179"/>
      <c r="R79" s="180"/>
      <c r="S79" s="180"/>
      <c r="T79" s="184"/>
      <c r="U79" s="179"/>
      <c r="V79" s="180"/>
      <c r="W79" s="180"/>
      <c r="X79" s="184"/>
      <c r="Y79" s="179"/>
      <c r="Z79" s="180"/>
    </row>
    <row r="80" spans="1:26" ht="10.5" customHeight="1">
      <c r="A80" s="180"/>
      <c r="B80" s="180"/>
      <c r="C80" s="180"/>
      <c r="D80" s="184"/>
      <c r="E80" s="179"/>
      <c r="F80" s="180"/>
      <c r="G80" s="180"/>
      <c r="H80" s="184"/>
      <c r="I80" s="179"/>
      <c r="J80" s="180"/>
      <c r="K80" s="180"/>
      <c r="L80" s="184"/>
      <c r="M80" s="179"/>
      <c r="N80" s="180"/>
      <c r="O80" s="180"/>
      <c r="P80" s="184"/>
      <c r="Q80" s="179"/>
      <c r="R80" s="180"/>
      <c r="S80" s="180"/>
      <c r="T80" s="184"/>
      <c r="U80" s="179"/>
      <c r="V80" s="180"/>
      <c r="W80" s="180"/>
      <c r="X80" s="184"/>
      <c r="Y80" s="179"/>
      <c r="Z80" s="180"/>
    </row>
    <row r="81" spans="1:26" ht="10.5" customHeight="1">
      <c r="A81" s="180"/>
      <c r="B81" s="180"/>
      <c r="C81" s="180"/>
      <c r="D81" s="184"/>
      <c r="E81" s="179"/>
      <c r="F81" s="180"/>
      <c r="G81" s="180"/>
      <c r="H81" s="184"/>
      <c r="I81" s="179"/>
      <c r="J81" s="180"/>
      <c r="K81" s="180"/>
      <c r="L81" s="184"/>
      <c r="M81" s="179"/>
      <c r="N81" s="180"/>
      <c r="O81" s="180"/>
      <c r="P81" s="184"/>
      <c r="Q81" s="179"/>
      <c r="R81" s="180"/>
      <c r="S81" s="180"/>
      <c r="T81" s="184"/>
      <c r="U81" s="179"/>
      <c r="V81" s="180"/>
      <c r="W81" s="180"/>
      <c r="X81" s="184"/>
      <c r="Y81" s="179"/>
      <c r="Z81" s="180"/>
    </row>
    <row r="82" spans="1:26" ht="10.5" customHeight="1">
      <c r="A82" s="180"/>
      <c r="B82" s="180"/>
      <c r="C82" s="180"/>
      <c r="D82" s="184"/>
      <c r="E82" s="179"/>
      <c r="F82" s="180"/>
      <c r="G82" s="180"/>
      <c r="H82" s="184"/>
      <c r="I82" s="179"/>
      <c r="J82" s="180"/>
      <c r="K82" s="180"/>
      <c r="L82" s="184"/>
      <c r="M82" s="179"/>
      <c r="N82" s="180"/>
      <c r="O82" s="180"/>
      <c r="P82" s="184"/>
      <c r="Q82" s="179"/>
      <c r="R82" s="180"/>
      <c r="S82" s="180"/>
      <c r="T82" s="184"/>
      <c r="U82" s="179"/>
      <c r="V82" s="180"/>
      <c r="W82" s="180"/>
      <c r="X82" s="184"/>
      <c r="Y82" s="179"/>
      <c r="Z82" s="180"/>
    </row>
    <row r="83" spans="1:26" ht="10.5" customHeight="1">
      <c r="A83" s="180"/>
      <c r="B83" s="180"/>
      <c r="C83" s="180"/>
      <c r="D83" s="184"/>
      <c r="E83" s="179"/>
      <c r="F83" s="180"/>
      <c r="G83" s="180"/>
      <c r="H83" s="184"/>
      <c r="I83" s="179"/>
      <c r="J83" s="180"/>
      <c r="K83" s="180"/>
      <c r="L83" s="184"/>
      <c r="M83" s="179"/>
      <c r="N83" s="180"/>
      <c r="O83" s="180"/>
      <c r="P83" s="184"/>
      <c r="Q83" s="179"/>
      <c r="R83" s="180"/>
      <c r="S83" s="180"/>
      <c r="T83" s="184"/>
      <c r="U83" s="179"/>
      <c r="V83" s="180"/>
      <c r="W83" s="180"/>
      <c r="X83" s="184"/>
      <c r="Y83" s="179"/>
      <c r="Z83" s="180"/>
    </row>
    <row r="84" spans="1:26" ht="10.5" customHeight="1">
      <c r="A84" s="180"/>
      <c r="B84" s="180"/>
      <c r="C84" s="180"/>
      <c r="D84" s="184"/>
      <c r="E84" s="179"/>
      <c r="F84" s="180"/>
      <c r="G84" s="180"/>
      <c r="H84" s="184"/>
      <c r="I84" s="179"/>
      <c r="J84" s="180"/>
      <c r="K84" s="180"/>
      <c r="L84" s="184"/>
      <c r="M84" s="179"/>
      <c r="N84" s="180"/>
      <c r="O84" s="180"/>
      <c r="P84" s="184"/>
      <c r="Q84" s="179"/>
      <c r="R84" s="180"/>
      <c r="S84" s="180"/>
      <c r="T84" s="184"/>
      <c r="U84" s="179"/>
      <c r="V84" s="180"/>
      <c r="W84" s="180"/>
      <c r="X84" s="184"/>
      <c r="Y84" s="179"/>
      <c r="Z84" s="180"/>
    </row>
  </sheetData>
  <mergeCells count="16">
    <mergeCell ref="U47:W47"/>
    <mergeCell ref="A48:X48"/>
    <mergeCell ref="A47:C47"/>
    <mergeCell ref="E47:G47"/>
    <mergeCell ref="I47:K47"/>
    <mergeCell ref="M47:O47"/>
    <mergeCell ref="Q47:S47"/>
    <mergeCell ref="A23:X23"/>
    <mergeCell ref="A26:X26"/>
    <mergeCell ref="U22:W22"/>
    <mergeCell ref="A1:X1"/>
    <mergeCell ref="E22:G22"/>
    <mergeCell ref="A22:C22"/>
    <mergeCell ref="I22:K22"/>
    <mergeCell ref="M22:O22"/>
    <mergeCell ref="Q22:S2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H79"/>
  <sheetViews>
    <sheetView workbookViewId="0">
      <selection activeCell="I13" sqref="I13"/>
    </sheetView>
  </sheetViews>
  <sheetFormatPr defaultColWidth="14.42578125" defaultRowHeight="18.75" customHeight="1"/>
  <cols>
    <col min="1" max="1" width="13.5703125" bestFit="1" customWidth="1"/>
    <col min="2" max="2" width="14.85546875" bestFit="1" customWidth="1"/>
    <col min="3" max="3" width="15.5703125" bestFit="1" customWidth="1"/>
    <col min="4" max="4" width="14.85546875" bestFit="1" customWidth="1"/>
    <col min="5" max="5" width="12.140625" bestFit="1" customWidth="1"/>
    <col min="6" max="6" width="11.140625" bestFit="1" customWidth="1"/>
    <col min="7" max="9" width="12.140625" bestFit="1" customWidth="1"/>
    <col min="10" max="10" width="7.140625" bestFit="1" customWidth="1"/>
    <col min="11" max="11" width="9.42578125" bestFit="1" customWidth="1"/>
    <col min="12" max="12" width="12.140625" bestFit="1" customWidth="1"/>
    <col min="13" max="13" width="6.140625" bestFit="1" customWidth="1"/>
    <col min="14" max="14" width="10.42578125" bestFit="1" customWidth="1"/>
    <col min="15" max="15" width="9.42578125" bestFit="1" customWidth="1"/>
    <col min="16" max="16" width="8.28515625" bestFit="1" customWidth="1"/>
    <col min="17" max="17" width="9" bestFit="1" customWidth="1"/>
    <col min="18" max="18" width="8.7109375" bestFit="1" customWidth="1"/>
    <col min="19" max="19" width="8.5703125" bestFit="1" customWidth="1"/>
    <col min="20" max="20" width="10.5703125" bestFit="1" customWidth="1"/>
    <col min="21" max="21" width="15.28515625" bestFit="1" customWidth="1"/>
    <col min="22" max="22" width="5.5703125" bestFit="1" customWidth="1"/>
    <col min="23" max="23" width="9.140625" bestFit="1" customWidth="1"/>
    <col min="24" max="24" width="8.140625" bestFit="1" customWidth="1"/>
    <col min="25" max="25" width="12.140625" bestFit="1" customWidth="1"/>
    <col min="26" max="26" width="13.42578125" bestFit="1" customWidth="1"/>
    <col min="27" max="27" width="12.140625" bestFit="1" customWidth="1"/>
    <col min="28" max="28" width="7.7109375" bestFit="1" customWidth="1"/>
    <col min="29" max="29" width="11.5703125" bestFit="1" customWidth="1"/>
    <col min="30" max="31" width="12.140625" bestFit="1" customWidth="1"/>
    <col min="32" max="32" width="11.5703125" bestFit="1" customWidth="1"/>
    <col min="33" max="33" width="14.85546875" customWidth="1"/>
    <col min="34" max="34" width="5.5703125" bestFit="1" customWidth="1"/>
    <col min="35" max="36" width="9.140625" bestFit="1" customWidth="1"/>
    <col min="37" max="39" width="9" bestFit="1" customWidth="1"/>
    <col min="40" max="40" width="4.5703125" customWidth="1"/>
    <col min="41" max="41" width="5.5703125" bestFit="1" customWidth="1"/>
    <col min="42" max="43" width="9.140625" bestFit="1" customWidth="1"/>
    <col min="44" max="46" width="9" bestFit="1" customWidth="1"/>
    <col min="47" max="47" width="5.140625" customWidth="1"/>
    <col min="48" max="48" width="5.5703125" bestFit="1" customWidth="1"/>
    <col min="49" max="50" width="9.140625" bestFit="1" customWidth="1"/>
    <col min="51" max="53" width="9" bestFit="1" customWidth="1"/>
    <col min="54" max="54" width="4.85546875" customWidth="1"/>
    <col min="55" max="55" width="5.5703125" bestFit="1" customWidth="1"/>
    <col min="56" max="57" width="9.140625" bestFit="1" customWidth="1"/>
    <col min="58" max="58" width="6" bestFit="1" customWidth="1"/>
    <col min="59" max="59" width="5.42578125" bestFit="1" customWidth="1"/>
    <col min="60" max="60" width="9" bestFit="1" customWidth="1"/>
  </cols>
  <sheetData>
    <row r="1" spans="1:60" ht="18.75" customHeight="1">
      <c r="L1" s="20"/>
      <c r="M1" s="20"/>
      <c r="N1" s="53" t="str">
        <f>Inputs!O3</f>
        <v>0 -constant
1=3rd order</v>
      </c>
      <c r="O1" s="53" t="str">
        <f>Inputs!P3</f>
        <v>constant</v>
      </c>
      <c r="P1" s="53" t="str">
        <f>Inputs!Q3</f>
        <v>c3</v>
      </c>
      <c r="Q1" s="53" t="str">
        <f>Inputs!R3</f>
        <v>c2</v>
      </c>
      <c r="R1" s="53" t="str">
        <f>Inputs!S3</f>
        <v>c1</v>
      </c>
      <c r="S1" s="53" t="str">
        <f>Inputs!T3</f>
        <v>c0</v>
      </c>
      <c r="T1" s="53" t="str">
        <f>Inputs!U3</f>
        <v>0 -constant
1=fit</v>
      </c>
      <c r="U1" s="53" t="str">
        <f>Inputs!V3</f>
        <v>constant</v>
      </c>
      <c r="V1" s="53" t="str">
        <f>Inputs!W3</f>
        <v>c3</v>
      </c>
      <c r="W1" s="53" t="str">
        <f>Inputs!X3</f>
        <v>c2</v>
      </c>
      <c r="X1" s="53" t="str">
        <f>Inputs!Y3</f>
        <v>c1</v>
      </c>
      <c r="Y1" s="53" t="str">
        <f>Inputs!Z3</f>
        <v>c0</v>
      </c>
      <c r="Z1" s="53" t="str">
        <f>Inputs!AA3</f>
        <v>1/ offset f(KHz)</v>
      </c>
    </row>
    <row r="2" spans="1:60" ht="18.75" customHeight="1">
      <c r="N2" s="53">
        <f>Inputs!O4</f>
        <v>0</v>
      </c>
      <c r="O2" s="53">
        <f>Inputs!P4</f>
        <v>-193</v>
      </c>
      <c r="P2" s="53">
        <f>Inputs!Q4</f>
        <v>0</v>
      </c>
      <c r="Q2" s="53">
        <f>Inputs!R4</f>
        <v>0</v>
      </c>
      <c r="R2" s="53">
        <f>Inputs!S4</f>
        <v>0</v>
      </c>
      <c r="S2" s="53">
        <f>Inputs!T4</f>
        <v>0</v>
      </c>
      <c r="T2" s="53">
        <f>Inputs!U4</f>
        <v>0</v>
      </c>
      <c r="U2" s="53">
        <f>Inputs!V4</f>
        <v>-100</v>
      </c>
      <c r="V2" s="53">
        <f>Inputs!W4</f>
        <v>0</v>
      </c>
      <c r="W2" s="53">
        <f>Inputs!X4</f>
        <v>0</v>
      </c>
      <c r="X2" s="53">
        <f>Inputs!Y4</f>
        <v>0</v>
      </c>
      <c r="Y2" s="53">
        <f>Inputs!Z4</f>
        <v>0</v>
      </c>
      <c r="Z2" s="53">
        <f>Inputs!AA4</f>
        <v>10</v>
      </c>
    </row>
    <row r="3" spans="1:60" ht="18.75" customHeight="1">
      <c r="AH3" s="86">
        <f>'Top Level'!AA22</f>
        <v>0</v>
      </c>
      <c r="AI3" s="86">
        <f>'Top Level'!AB22</f>
        <v>0</v>
      </c>
    </row>
    <row r="4" spans="1:60" ht="18.75" customHeight="1">
      <c r="AH4" s="86">
        <f>'Top Level'!AA23</f>
        <v>0</v>
      </c>
      <c r="AI4" s="86">
        <f>'Top Level'!AB23</f>
        <v>0</v>
      </c>
      <c r="AJ4" s="86">
        <f>'Top Level'!AC23</f>
        <v>0</v>
      </c>
      <c r="AK4" s="86" t="e">
        <f>AM28</f>
        <v>#NUM!</v>
      </c>
    </row>
    <row r="5" spans="1:60" ht="18.75" customHeight="1">
      <c r="AH5" s="86">
        <f>'Top Level'!AA24</f>
        <v>0</v>
      </c>
      <c r="AI5" s="86">
        <f>'Top Level'!AB24</f>
        <v>0</v>
      </c>
      <c r="AJ5" s="86">
        <f>'Top Level'!AC24</f>
        <v>0</v>
      </c>
      <c r="AK5" s="86" t="e">
        <f>AT28</f>
        <v>#NUM!</v>
      </c>
    </row>
    <row r="6" spans="1:60" ht="18.75" customHeight="1">
      <c r="N6" s="10" t="s">
        <v>350</v>
      </c>
      <c r="O6" s="10" t="s">
        <v>351</v>
      </c>
      <c r="P6" s="10" t="s">
        <v>352</v>
      </c>
      <c r="Q6" s="10" t="s">
        <v>229</v>
      </c>
      <c r="R6" s="10" t="s">
        <v>230</v>
      </c>
      <c r="S6" s="10" t="s">
        <v>231</v>
      </c>
      <c r="T6" s="10" t="s">
        <v>227</v>
      </c>
      <c r="U6" s="10" t="s">
        <v>353</v>
      </c>
      <c r="AH6" s="86">
        <f>'Top Level'!AA25</f>
        <v>0</v>
      </c>
      <c r="AI6" s="86">
        <f>'Top Level'!AB25</f>
        <v>0</v>
      </c>
      <c r="AJ6" s="86">
        <f>'Top Level'!AC25</f>
        <v>0</v>
      </c>
      <c r="AK6" s="86" t="e">
        <f>BA28</f>
        <v>#NUM!</v>
      </c>
    </row>
    <row r="7" spans="1:60" ht="18.75" customHeight="1">
      <c r="A7" s="10" t="s">
        <v>354</v>
      </c>
      <c r="B7" s="10" t="s">
        <v>355</v>
      </c>
      <c r="C7" s="10" t="s">
        <v>356</v>
      </c>
      <c r="D7" s="10" t="s">
        <v>357</v>
      </c>
      <c r="E7" s="10" t="s">
        <v>271</v>
      </c>
      <c r="F7" s="10" t="s">
        <v>358</v>
      </c>
      <c r="G7" s="10" t="s">
        <v>359</v>
      </c>
      <c r="H7" s="197" t="s">
        <v>360</v>
      </c>
      <c r="I7" s="10" t="s">
        <v>361</v>
      </c>
      <c r="K7" s="198" t="s">
        <v>362</v>
      </c>
      <c r="M7" s="10" t="s">
        <v>363</v>
      </c>
      <c r="N7" s="86">
        <f>'Top Level'!H12</f>
        <v>0.5</v>
      </c>
      <c r="O7" s="199">
        <f t="shared" ref="O7:O8" si="0">IF(U7=1,P7*N7^3+Q7*N7^2+R7*N7+S7,T7)</f>
        <v>-193</v>
      </c>
      <c r="P7" s="200">
        <f t="shared" ref="P7:S7" si="1">P2</f>
        <v>0</v>
      </c>
      <c r="Q7" s="200">
        <f t="shared" si="1"/>
        <v>0</v>
      </c>
      <c r="R7" s="200">
        <f t="shared" si="1"/>
        <v>0</v>
      </c>
      <c r="S7" s="200">
        <f t="shared" si="1"/>
        <v>0</v>
      </c>
      <c r="T7" s="86">
        <f>O2</f>
        <v>-193</v>
      </c>
      <c r="U7" s="86">
        <f>N2</f>
        <v>0</v>
      </c>
      <c r="AH7" s="86">
        <f>'Top Level'!AA26</f>
        <v>0</v>
      </c>
      <c r="AI7" s="86">
        <f>'Top Level'!AB26</f>
        <v>0</v>
      </c>
      <c r="AJ7" s="86">
        <f>'Top Level'!AC26</f>
        <v>0</v>
      </c>
      <c r="AK7" s="86" t="e">
        <f>BH28</f>
        <v>#NUM!</v>
      </c>
    </row>
    <row r="8" spans="1:60" ht="18.75" customHeight="1">
      <c r="A8" s="82">
        <f>'Top Level'!J12</f>
        <v>1575</v>
      </c>
      <c r="B8" s="86">
        <f>'Top Level'!A12</f>
        <v>16.367999999999999</v>
      </c>
      <c r="C8" s="82">
        <f>B8/D8</f>
        <v>16</v>
      </c>
      <c r="D8" s="86">
        <f>'Top Level'!G12</f>
        <v>1.0229999999999999</v>
      </c>
      <c r="E8" s="86">
        <f>A8/D8</f>
        <v>1539.5894428152494</v>
      </c>
      <c r="F8" s="201">
        <f>10*LOG10(D8*1000000)</f>
        <v>60.0987563371216</v>
      </c>
      <c r="G8" s="201">
        <f>20*LOG10(E8)</f>
        <v>63.748098488269179</v>
      </c>
      <c r="H8" s="202">
        <f>O7+K8</f>
        <v>-193</v>
      </c>
      <c r="I8" s="201">
        <f>SUM(F8:H8)</f>
        <v>-69.153145174609222</v>
      </c>
      <c r="K8" s="203">
        <f>'Top Level'!AB31</f>
        <v>0</v>
      </c>
      <c r="M8" s="10" t="s">
        <v>364</v>
      </c>
      <c r="N8" s="86">
        <f>'Top Level'!H12</f>
        <v>0.5</v>
      </c>
      <c r="O8" s="199">
        <f t="shared" si="0"/>
        <v>-100</v>
      </c>
      <c r="P8" s="200">
        <f t="shared" ref="P8:S8" si="2">V2</f>
        <v>0</v>
      </c>
      <c r="Q8" s="200">
        <f t="shared" si="2"/>
        <v>0</v>
      </c>
      <c r="R8" s="200">
        <f t="shared" si="2"/>
        <v>0</v>
      </c>
      <c r="S8" s="200">
        <f t="shared" si="2"/>
        <v>0</v>
      </c>
      <c r="T8" s="86">
        <f>U2</f>
        <v>-100</v>
      </c>
      <c r="U8" s="86">
        <f>T2</f>
        <v>0</v>
      </c>
    </row>
    <row r="9" spans="1:60" ht="18.75" customHeight="1">
      <c r="D9" s="201"/>
      <c r="E9" s="201"/>
      <c r="G9" s="201"/>
      <c r="K9" s="198" t="s">
        <v>365</v>
      </c>
    </row>
    <row r="10" spans="1:60" ht="18.75" customHeight="1">
      <c r="A10" s="204"/>
      <c r="B10" s="204"/>
      <c r="C10" s="205" t="s">
        <v>50</v>
      </c>
      <c r="E10" s="206"/>
      <c r="K10" s="203">
        <f>'Top Level'!AB32</f>
        <v>0</v>
      </c>
    </row>
    <row r="11" spans="1:60" ht="18.75" customHeight="1">
      <c r="A11" s="205" t="s">
        <v>366</v>
      </c>
      <c r="B11" s="202">
        <f>O8+K10</f>
        <v>-100</v>
      </c>
      <c r="C11" s="202">
        <f>Z2</f>
        <v>10</v>
      </c>
      <c r="E11" s="206"/>
    </row>
    <row r="12" spans="1:60" ht="18.75" customHeight="1">
      <c r="C12" s="10" t="s">
        <v>367</v>
      </c>
      <c r="P12" s="10" t="s">
        <v>368</v>
      </c>
      <c r="Q12" s="10" t="s">
        <v>369</v>
      </c>
      <c r="R12" s="10" t="s">
        <v>370</v>
      </c>
      <c r="S12" s="10" t="s">
        <v>371</v>
      </c>
      <c r="V12" s="10" t="s">
        <v>372</v>
      </c>
      <c r="W12" s="10" t="s">
        <v>279</v>
      </c>
      <c r="X12" s="10" t="s">
        <v>270</v>
      </c>
      <c r="Y12" s="10" t="s">
        <v>373</v>
      </c>
      <c r="Z12" s="10" t="s">
        <v>374</v>
      </c>
      <c r="AH12" s="10" t="s">
        <v>372</v>
      </c>
      <c r="AI12" s="10" t="s">
        <v>279</v>
      </c>
      <c r="AJ12" s="10" t="s">
        <v>270</v>
      </c>
      <c r="AK12" s="10" t="s">
        <v>373</v>
      </c>
      <c r="AL12" s="10" t="s">
        <v>374</v>
      </c>
      <c r="AO12" s="10" t="s">
        <v>372</v>
      </c>
      <c r="AP12" s="10" t="s">
        <v>279</v>
      </c>
      <c r="AQ12" s="10" t="s">
        <v>270</v>
      </c>
      <c r="AR12" s="10" t="s">
        <v>373</v>
      </c>
      <c r="AS12" s="10" t="s">
        <v>374</v>
      </c>
      <c r="AV12" s="10" t="s">
        <v>372</v>
      </c>
      <c r="AW12" s="10" t="s">
        <v>279</v>
      </c>
      <c r="AX12" s="10" t="s">
        <v>270</v>
      </c>
      <c r="AY12" s="10" t="s">
        <v>373</v>
      </c>
      <c r="AZ12" s="10" t="s">
        <v>374</v>
      </c>
      <c r="BC12" s="10" t="s">
        <v>372</v>
      </c>
      <c r="BD12" s="10" t="s">
        <v>279</v>
      </c>
      <c r="BE12" s="10" t="s">
        <v>270</v>
      </c>
      <c r="BF12" s="10" t="s">
        <v>373</v>
      </c>
      <c r="BG12" s="10" t="s">
        <v>374</v>
      </c>
    </row>
    <row r="13" spans="1:60" ht="18.75" customHeight="1">
      <c r="A13" s="10" t="s">
        <v>375</v>
      </c>
      <c r="B13" s="10" t="s">
        <v>171</v>
      </c>
      <c r="C13" s="207" t="str">
        <f>'Top Level'!A10</f>
        <v>xtal1</v>
      </c>
      <c r="D13" s="10" t="s">
        <v>376</v>
      </c>
      <c r="E13" s="10" t="s">
        <v>74</v>
      </c>
      <c r="F13" s="10" t="s">
        <v>73</v>
      </c>
      <c r="G13" s="10" t="s">
        <v>377</v>
      </c>
      <c r="H13" s="10" t="s">
        <v>72</v>
      </c>
      <c r="I13" s="10" t="s">
        <v>378</v>
      </c>
      <c r="J13" s="10" t="s">
        <v>379</v>
      </c>
      <c r="K13" s="10" t="s">
        <v>380</v>
      </c>
      <c r="L13" s="10" t="s">
        <v>204</v>
      </c>
      <c r="M13" s="10" t="s">
        <v>381</v>
      </c>
      <c r="N13" s="10" t="s">
        <v>382</v>
      </c>
      <c r="O13" s="10" t="s">
        <v>383</v>
      </c>
      <c r="S13" s="10" t="s">
        <v>384</v>
      </c>
      <c r="T13" s="10" t="s">
        <v>385</v>
      </c>
      <c r="U13" s="10" t="s">
        <v>294</v>
      </c>
      <c r="W13" s="201">
        <f>'Top Level'!S8</f>
        <v>1</v>
      </c>
      <c r="X13" s="86">
        <f>'Top Level'!T8</f>
        <v>1000</v>
      </c>
      <c r="AI13" s="201">
        <f t="shared" ref="AI13:AJ13" si="3">AH4</f>
        <v>0</v>
      </c>
      <c r="AJ13" s="86">
        <f t="shared" si="3"/>
        <v>0</v>
      </c>
      <c r="AP13" s="201">
        <f t="shared" ref="AP13:AQ13" si="4">AH5</f>
        <v>0</v>
      </c>
      <c r="AQ13" s="86">
        <f t="shared" si="4"/>
        <v>0</v>
      </c>
      <c r="AW13" s="201">
        <f t="shared" ref="AW13:AX13" si="5">AH6</f>
        <v>0</v>
      </c>
      <c r="AX13" s="86">
        <f t="shared" si="5"/>
        <v>0</v>
      </c>
      <c r="BD13" s="201">
        <f t="shared" ref="BD13:BE13" si="6">AH7</f>
        <v>0</v>
      </c>
      <c r="BE13" s="86">
        <f t="shared" si="6"/>
        <v>0</v>
      </c>
    </row>
    <row r="14" spans="1:60" ht="18.75" customHeight="1">
      <c r="A14" s="58">
        <f>'PLL filter cal'!D25/1000</f>
        <v>0.1</v>
      </c>
      <c r="B14" s="86">
        <f>'PLL filter cal'!D25</f>
        <v>100</v>
      </c>
      <c r="C14" s="86">
        <f>'vcxo raw'!A34</f>
        <v>-130</v>
      </c>
      <c r="D14" s="201">
        <f>'vco raw data'!D14</f>
        <v>-21</v>
      </c>
      <c r="E14" s="208">
        <f t="shared" ref="E14:E25" si="7">$B$11+20*LOG10($A$8/1000)-10*LOG10(A14/$C$11)+P14</f>
        <v>-76.054268775171508</v>
      </c>
      <c r="F14" s="209">
        <f t="shared" ref="F14:F25" si="8">$I$8+P14</f>
        <v>-69.153025112293122</v>
      </c>
      <c r="G14" s="209">
        <f t="shared" ref="G14:G25" si="9">C14+20*LOG10($E$8/$C$8)+P14</f>
        <v>-90.334181102533208</v>
      </c>
      <c r="H14" s="86">
        <f t="shared" ref="H14:H25" si="10">D14+Q14</f>
        <v>-118.18790236659544</v>
      </c>
      <c r="I14" s="86">
        <f>SDM!B4+P14</f>
        <v>-183.39468225533085</v>
      </c>
      <c r="J14" s="201">
        <f>'R noise'!E11+Q14</f>
        <v>-139.86176270004594</v>
      </c>
      <c r="K14" s="201">
        <f>'R noise'!F11+Q14</f>
        <v>-146.67945908952765</v>
      </c>
      <c r="L14" s="86">
        <f>'R noise'!G11+Q14</f>
        <v>-363.6412754228889</v>
      </c>
      <c r="M14" s="209">
        <f t="shared" ref="M14:M25" si="11">10*LOG10(10^(E14/10)+10^(F14/10)+10^(G14/10)+10^(H14/10)+10^(I14/10)+10^(J14/10)+10^(K14/10)+10^(L14/10))</f>
        <v>-68.318906699037598</v>
      </c>
      <c r="N14" s="201">
        <f>M14-20*LOG10('Top Level'!L$10)</f>
        <v>-68.318906699037598</v>
      </c>
      <c r="P14" s="201">
        <f>'PLL filter cal'!E25</f>
        <v>1.2006231609732659E-4</v>
      </c>
      <c r="Q14" s="201">
        <f>'PLL filter cal'!F25</f>
        <v>-97.187902366595438</v>
      </c>
      <c r="S14" s="210">
        <f t="shared" ref="S14:S25" si="12">A14+0</f>
        <v>0.1</v>
      </c>
      <c r="T14" s="211">
        <f t="shared" ref="T14:T24" si="13">(10^(N14/20)/((A14*1000)^(U14)))^2</f>
        <v>2.0361918721639543E-7</v>
      </c>
      <c r="U14" s="86">
        <f t="shared" ref="U14:U20" si="14">(N15-N14)/(20*LOG10(A15/A14))</f>
        <v>-3.5177342362629815E-2</v>
      </c>
      <c r="V14" s="53">
        <f t="shared" ref="V14:V25" si="15">IF(AND(S14&lt;=X$13,S15&gt;W$13),1,0)</f>
        <v>0</v>
      </c>
      <c r="W14" s="58">
        <f t="shared" ref="W14:W25" si="16">IF(AND(W$13&gt;=S14,W$13&lt;=S15),W$13,A14)</f>
        <v>1</v>
      </c>
      <c r="X14" s="58">
        <f t="shared" ref="X14:X25" si="17">IF(AND(X$13&gt;=S14,X$13&lt;=S15),X$13,A15)</f>
        <v>1</v>
      </c>
      <c r="Y14" s="212">
        <f t="shared" ref="Y14:Y24" si="18">(T14/(2*U14+1))*(W14*1000)^(2*U14+1)</f>
        <v>1.3472163978146413E-4</v>
      </c>
      <c r="Z14" s="212">
        <f t="shared" ref="Z14:Z24" si="19">(T14/(2*U14+1))*(X14*1000)^(2*U14+1)</f>
        <v>1.3472163978146413E-4</v>
      </c>
      <c r="AA14" s="212">
        <f t="shared" ref="AA14:AA24" si="20">2*(Z14-Y14)*V14</f>
        <v>0</v>
      </c>
      <c r="AC14" s="211"/>
      <c r="AD14" s="86">
        <f t="shared" ref="AD14:AD24" si="21">(T14/(2*U14+3))*(W14*1000)^(2*U14+3)</f>
        <v>42.750342724414033</v>
      </c>
      <c r="AE14" s="86">
        <f t="shared" ref="AE14:AE24" si="22">(T14/(2*U14+3))*(X14*1000)^(2*U14+3)</f>
        <v>42.750342724414033</v>
      </c>
      <c r="AF14" s="212">
        <f t="shared" ref="AF14:AF24" si="23">2*(AE14-AD14)*V14</f>
        <v>0</v>
      </c>
      <c r="AH14" s="53">
        <f t="shared" ref="AH14:AH25" si="24">IF(AND($S14&lt;=AJ$13,$S15&gt;AI$13),1,0)</f>
        <v>0</v>
      </c>
      <c r="AI14" s="58">
        <f t="shared" ref="AI14:AI25" si="25">IF(AND(AI$13&gt;=$S14,AI$13&lt;=$S15),AI$13,$A14)</f>
        <v>0.1</v>
      </c>
      <c r="AJ14" s="58">
        <f t="shared" ref="AJ14:AJ25" si="26">IF(AND(AJ$13&gt;=$S14,AJ$13&lt;=$S15),AJ$13,$A15)</f>
        <v>1</v>
      </c>
      <c r="AK14" s="212">
        <f t="shared" ref="AK14:AK25" si="27">IF(AH14=1,($T14/(2*$U14+1))*(AI14*1000)^(2*$U14+1),0)</f>
        <v>0</v>
      </c>
      <c r="AL14" s="212">
        <f t="shared" ref="AL14:AL25" si="28">IF(AH14=1,($T14/(2*$U14+1))*(AJ14*1000)^(2*$U14+1),0)</f>
        <v>0</v>
      </c>
      <c r="AM14" s="212">
        <f t="shared" ref="AM14:AM24" si="29">2*(AL14-AK14)*AH14</f>
        <v>0</v>
      </c>
      <c r="AO14" s="53">
        <f t="shared" ref="AO14:AO25" si="30">IF(AND($S14&lt;=AQ$13,$S15&gt;AP$13),1,0)</f>
        <v>0</v>
      </c>
      <c r="AP14" s="58">
        <f t="shared" ref="AP14:AP25" si="31">IF(AND(AP$13&gt;=$S14,AP$13&lt;=$S15),AP$13,$A14)</f>
        <v>0.1</v>
      </c>
      <c r="AQ14" s="58">
        <f t="shared" ref="AQ14:AQ25" si="32">IF(AND(AQ$13&gt;=$S14,AQ$13&lt;=$S15),AQ$13,$A15)</f>
        <v>1</v>
      </c>
      <c r="AR14" s="212">
        <f t="shared" ref="AR14:AR25" si="33">IF(AO14=1,($T14/(2*$U14+1))*(AP14*1000)^(2*$U14+1),0)</f>
        <v>0</v>
      </c>
      <c r="AS14" s="212">
        <f t="shared" ref="AS14:AS25" si="34">IF(AO14=1,($T14/(2*$U14+1))*(AQ14*1000)^(2*$U14+1),0)</f>
        <v>0</v>
      </c>
      <c r="AT14" s="212">
        <f t="shared" ref="AT14:AT24" si="35">2*(AS14-AR14)*AO14</f>
        <v>0</v>
      </c>
      <c r="AV14" s="53">
        <f t="shared" ref="AV14:AV25" si="36">IF(AND($S14&lt;=AX$13,$S15&gt;AW$13),1,0)</f>
        <v>0</v>
      </c>
      <c r="AW14" s="58">
        <f t="shared" ref="AW14:AW25" si="37">IF(AND(AW$13&gt;=$S14,AW$13&lt;=$S15),AW$13,$A14)</f>
        <v>0.1</v>
      </c>
      <c r="AX14" s="58">
        <f t="shared" ref="AX14:AX25" si="38">IF(AND(AX$13&gt;=$S14,AX$13&lt;=$S15),AX$13,$A15)</f>
        <v>1</v>
      </c>
      <c r="AY14" s="212">
        <f t="shared" ref="AY14:AY25" si="39">IF(AV14=1,($T14/(2*$U14+1))*(AW14*1000)^(2*$U14+1),0)</f>
        <v>0</v>
      </c>
      <c r="AZ14" s="212">
        <f t="shared" ref="AZ14:AZ25" si="40">IF(AV14=1,($T14/(2*$U14+1))*(AX14*1000)^(2*$U14+1),0)</f>
        <v>0</v>
      </c>
      <c r="BA14" s="212">
        <f t="shared" ref="BA14:BA24" si="41">2*(AZ14-AY14)*AV14</f>
        <v>0</v>
      </c>
      <c r="BC14" s="53">
        <f t="shared" ref="BC14:BC25" si="42">IF(AND($S14&lt;=BE$13,$S15&gt;BD$13),1,0)</f>
        <v>0</v>
      </c>
      <c r="BD14" s="58">
        <f t="shared" ref="BD14:BD25" si="43">IF(AND(BD$13&gt;=$S14,BD$13&lt;=$S15),BD$13,$A14)</f>
        <v>0.1</v>
      </c>
      <c r="BE14" s="58">
        <f t="shared" ref="BE14:BE25" si="44">IF(AND(BE$13&gt;=$S14,BE$13&lt;=$S15),BE$13,$A15)</f>
        <v>1</v>
      </c>
      <c r="BF14" s="53">
        <f t="shared" ref="BF14:BF25" si="45">IF(BC14=1,($T14/(2*$U14+1))*(BD14*1000)^(2*$U14+1),0)</f>
        <v>0</v>
      </c>
      <c r="BG14" s="53">
        <f t="shared" ref="BG14:BG25" si="46">IF(BC14=1,($T14/(2*$U14+1))*(BE14*1000)^(2*$U14+1),0)</f>
        <v>0</v>
      </c>
      <c r="BH14" s="212">
        <f t="shared" ref="BH14:BH24" si="47">2*(BG14-BF14)*BC14</f>
        <v>0</v>
      </c>
    </row>
    <row r="15" spans="1:60" ht="18.75" customHeight="1">
      <c r="A15" s="213">
        <v>1</v>
      </c>
      <c r="B15" s="86">
        <f>'PLL filter cal'!D26</f>
        <v>1000</v>
      </c>
      <c r="C15" s="86">
        <f>'vcxo raw'!A35</f>
        <v>-131</v>
      </c>
      <c r="D15" s="201">
        <f>'vco raw data'!D15</f>
        <v>-41</v>
      </c>
      <c r="E15" s="208">
        <f t="shared" si="7"/>
        <v>-86.042429713602587</v>
      </c>
      <c r="F15" s="209">
        <f t="shared" si="8"/>
        <v>-69.141186050724201</v>
      </c>
      <c r="G15" s="209">
        <f t="shared" si="9"/>
        <v>-91.322342040964287</v>
      </c>
      <c r="H15" s="86">
        <f t="shared" si="10"/>
        <v>-98.197405623382181</v>
      </c>
      <c r="I15" s="86">
        <f>SDM!B5+P15</f>
        <v>-143.38287022568002</v>
      </c>
      <c r="J15" s="201">
        <f>'R noise'!E12+Q15</f>
        <v>-119.87136547264998</v>
      </c>
      <c r="K15" s="201">
        <f>'R noise'!F12+Q15</f>
        <v>-126.68904021705438</v>
      </c>
      <c r="L15" s="86">
        <f>'R noise'!G12+Q15</f>
        <v>-343.65090225561181</v>
      </c>
      <c r="M15" s="209">
        <f t="shared" si="11"/>
        <v>-69.022453546290194</v>
      </c>
      <c r="N15" s="201">
        <f>M15-20*LOG10('Top Level'!L$10)</f>
        <v>-69.022453546290194</v>
      </c>
      <c r="P15" s="201">
        <f>'PLL filter cal'!E26</f>
        <v>1.1959123885022965E-2</v>
      </c>
      <c r="Q15" s="201">
        <f>'PLL filter cal'!F26</f>
        <v>-57.197405623382181</v>
      </c>
      <c r="S15" s="210">
        <f t="shared" si="12"/>
        <v>1</v>
      </c>
      <c r="T15" s="211">
        <f t="shared" si="13"/>
        <v>1.1006558704848082E-7</v>
      </c>
      <c r="U15" s="86">
        <f t="shared" si="14"/>
        <v>9.3505151796233407E-3</v>
      </c>
      <c r="V15" s="53">
        <f t="shared" si="15"/>
        <v>1</v>
      </c>
      <c r="W15" s="58">
        <f t="shared" si="16"/>
        <v>1</v>
      </c>
      <c r="X15" s="58">
        <f t="shared" si="17"/>
        <v>4</v>
      </c>
      <c r="Y15" s="212">
        <f t="shared" si="18"/>
        <v>1.2294415884197345E-4</v>
      </c>
      <c r="Z15" s="212">
        <f t="shared" si="19"/>
        <v>5.0469271210359771E-4</v>
      </c>
      <c r="AA15" s="212">
        <f t="shared" si="20"/>
        <v>7.6349710652324847E-4</v>
      </c>
      <c r="AC15" s="211"/>
      <c r="AD15" s="86">
        <f t="shared" si="21"/>
        <v>41.489150475449414</v>
      </c>
      <c r="AE15" s="86">
        <f t="shared" si="22"/>
        <v>2725.0448754697818</v>
      </c>
      <c r="AF15" s="212">
        <f t="shared" si="23"/>
        <v>5367.1114499886644</v>
      </c>
      <c r="AH15" s="53">
        <f t="shared" si="24"/>
        <v>0</v>
      </c>
      <c r="AI15" s="58">
        <f t="shared" si="25"/>
        <v>1</v>
      </c>
      <c r="AJ15" s="58">
        <f t="shared" si="26"/>
        <v>4</v>
      </c>
      <c r="AK15" s="212">
        <f t="shared" si="27"/>
        <v>0</v>
      </c>
      <c r="AL15" s="212">
        <f t="shared" si="28"/>
        <v>0</v>
      </c>
      <c r="AM15" s="212">
        <f t="shared" si="29"/>
        <v>0</v>
      </c>
      <c r="AO15" s="53">
        <f t="shared" si="30"/>
        <v>0</v>
      </c>
      <c r="AP15" s="58">
        <f t="shared" si="31"/>
        <v>1</v>
      </c>
      <c r="AQ15" s="58">
        <f t="shared" si="32"/>
        <v>4</v>
      </c>
      <c r="AR15" s="212">
        <f t="shared" si="33"/>
        <v>0</v>
      </c>
      <c r="AS15" s="212">
        <f t="shared" si="34"/>
        <v>0</v>
      </c>
      <c r="AT15" s="212">
        <f t="shared" si="35"/>
        <v>0</v>
      </c>
      <c r="AV15" s="53">
        <f t="shared" si="36"/>
        <v>0</v>
      </c>
      <c r="AW15" s="58">
        <f t="shared" si="37"/>
        <v>1</v>
      </c>
      <c r="AX15" s="58">
        <f t="shared" si="38"/>
        <v>4</v>
      </c>
      <c r="AY15" s="212">
        <f t="shared" si="39"/>
        <v>0</v>
      </c>
      <c r="AZ15" s="212">
        <f t="shared" si="40"/>
        <v>0</v>
      </c>
      <c r="BA15" s="212">
        <f t="shared" si="41"/>
        <v>0</v>
      </c>
      <c r="BC15" s="53">
        <f t="shared" si="42"/>
        <v>0</v>
      </c>
      <c r="BD15" s="58">
        <f t="shared" si="43"/>
        <v>1</v>
      </c>
      <c r="BE15" s="58">
        <f t="shared" si="44"/>
        <v>4</v>
      </c>
      <c r="BF15" s="53">
        <f t="shared" si="45"/>
        <v>0</v>
      </c>
      <c r="BG15" s="53">
        <f t="shared" si="46"/>
        <v>0</v>
      </c>
      <c r="BH15" s="212">
        <f t="shared" si="47"/>
        <v>0</v>
      </c>
    </row>
    <row r="16" spans="1:60" ht="18.75" customHeight="1">
      <c r="A16" s="213">
        <v>4</v>
      </c>
      <c r="B16" s="86">
        <f>'PLL filter cal'!D27</f>
        <v>4000</v>
      </c>
      <c r="C16" s="86">
        <f>'vcxo raw'!A36</f>
        <v>-132.19999999999999</v>
      </c>
      <c r="D16" s="201">
        <f>'vco raw data'!D16</f>
        <v>-59</v>
      </c>
      <c r="E16" s="208">
        <f t="shared" si="7"/>
        <v>-91.894435883071651</v>
      </c>
      <c r="F16" s="209">
        <f t="shared" si="8"/>
        <v>-68.97259230691364</v>
      </c>
      <c r="G16" s="209">
        <f t="shared" si="9"/>
        <v>-92.353748297153714</v>
      </c>
      <c r="H16" s="86">
        <f t="shared" si="10"/>
        <v>-92.257473533950701</v>
      </c>
      <c r="I16" s="86">
        <f>SDM!B6+P16</f>
        <v>-119.13228640532616</v>
      </c>
      <c r="J16" s="201">
        <f>'R noise'!E13+Q16</f>
        <v>-107.97414074686608</v>
      </c>
      <c r="K16" s="201">
        <f>'R noise'!F13+Q16</f>
        <v>-114.79148760746639</v>
      </c>
      <c r="L16" s="86">
        <f>'R noise'!G13+Q16</f>
        <v>-331.75404197212646</v>
      </c>
      <c r="M16" s="209">
        <f t="shared" si="11"/>
        <v>-68.909862124531074</v>
      </c>
      <c r="N16" s="201">
        <f>M16-20*LOG10('Top Level'!L$10)</f>
        <v>-68.909862124531074</v>
      </c>
      <c r="P16" s="201">
        <f>'PLL filter cal'!E27</f>
        <v>0.18055286769558396</v>
      </c>
      <c r="Q16" s="201">
        <f>'PLL filter cal'!F27</f>
        <v>-33.257473533950694</v>
      </c>
      <c r="S16" s="210">
        <f t="shared" si="12"/>
        <v>4</v>
      </c>
      <c r="T16" s="211">
        <f t="shared" si="13"/>
        <v>3.1688400280343084E-8</v>
      </c>
      <c r="U16" s="86">
        <f t="shared" si="14"/>
        <v>8.4411902310809292E-2</v>
      </c>
      <c r="V16" s="53">
        <f t="shared" si="15"/>
        <v>1</v>
      </c>
      <c r="W16" s="58">
        <f t="shared" si="16"/>
        <v>4</v>
      </c>
      <c r="X16" s="58">
        <f t="shared" si="17"/>
        <v>10</v>
      </c>
      <c r="Y16" s="212">
        <f t="shared" si="18"/>
        <v>4.398703926133473E-4</v>
      </c>
      <c r="Z16" s="212">
        <f t="shared" si="19"/>
        <v>1.2836495882368713E-3</v>
      </c>
      <c r="AA16" s="212">
        <f t="shared" si="20"/>
        <v>1.687558391247048E-3</v>
      </c>
      <c r="AC16" s="211"/>
      <c r="AD16" s="86">
        <f t="shared" si="21"/>
        <v>2595.9460924770578</v>
      </c>
      <c r="AE16" s="86">
        <f t="shared" si="22"/>
        <v>47347.542433118921</v>
      </c>
      <c r="AF16" s="212">
        <f t="shared" si="23"/>
        <v>89503.192681283719</v>
      </c>
      <c r="AH16" s="53">
        <f t="shared" si="24"/>
        <v>0</v>
      </c>
      <c r="AI16" s="58">
        <f t="shared" si="25"/>
        <v>4</v>
      </c>
      <c r="AJ16" s="58">
        <f t="shared" si="26"/>
        <v>10</v>
      </c>
      <c r="AK16" s="212">
        <f t="shared" si="27"/>
        <v>0</v>
      </c>
      <c r="AL16" s="212">
        <f t="shared" si="28"/>
        <v>0</v>
      </c>
      <c r="AM16" s="212">
        <f t="shared" si="29"/>
        <v>0</v>
      </c>
      <c r="AO16" s="53">
        <f t="shared" si="30"/>
        <v>0</v>
      </c>
      <c r="AP16" s="58">
        <f t="shared" si="31"/>
        <v>4</v>
      </c>
      <c r="AQ16" s="58">
        <f t="shared" si="32"/>
        <v>10</v>
      </c>
      <c r="AR16" s="212">
        <f t="shared" si="33"/>
        <v>0</v>
      </c>
      <c r="AS16" s="212">
        <f t="shared" si="34"/>
        <v>0</v>
      </c>
      <c r="AT16" s="212">
        <f t="shared" si="35"/>
        <v>0</v>
      </c>
      <c r="AV16" s="53">
        <f t="shared" si="36"/>
        <v>0</v>
      </c>
      <c r="AW16" s="58">
        <f t="shared" si="37"/>
        <v>4</v>
      </c>
      <c r="AX16" s="58">
        <f t="shared" si="38"/>
        <v>10</v>
      </c>
      <c r="AY16" s="212">
        <f t="shared" si="39"/>
        <v>0</v>
      </c>
      <c r="AZ16" s="212">
        <f t="shared" si="40"/>
        <v>0</v>
      </c>
      <c r="BA16" s="212">
        <f t="shared" si="41"/>
        <v>0</v>
      </c>
      <c r="BC16" s="53">
        <f t="shared" si="42"/>
        <v>0</v>
      </c>
      <c r="BD16" s="58">
        <f t="shared" si="43"/>
        <v>4</v>
      </c>
      <c r="BE16" s="58">
        <f t="shared" si="44"/>
        <v>10</v>
      </c>
      <c r="BF16" s="53">
        <f t="shared" si="45"/>
        <v>0</v>
      </c>
      <c r="BG16" s="53">
        <f t="shared" si="46"/>
        <v>0</v>
      </c>
      <c r="BH16" s="212">
        <f t="shared" si="47"/>
        <v>0</v>
      </c>
    </row>
    <row r="17" spans="1:60" ht="18.75" customHeight="1">
      <c r="A17" s="213">
        <v>10</v>
      </c>
      <c r="B17" s="86">
        <f>'PLL filter cal'!D28</f>
        <v>10000</v>
      </c>
      <c r="C17" s="86">
        <f>'vcxo raw'!A37</f>
        <v>-133</v>
      </c>
      <c r="D17" s="201">
        <f>'vco raw data'!D17</f>
        <v>-71</v>
      </c>
      <c r="E17" s="208">
        <f t="shared" si="7"/>
        <v>-95.205081678300346</v>
      </c>
      <c r="F17" s="209">
        <f t="shared" si="8"/>
        <v>-68.30383801542196</v>
      </c>
      <c r="G17" s="209">
        <f t="shared" si="9"/>
        <v>-92.484994005662045</v>
      </c>
      <c r="H17" s="86">
        <f t="shared" si="10"/>
        <v>-89.089703154398819</v>
      </c>
      <c r="I17" s="86">
        <f>SDM!B7+P17</f>
        <v>-102.54822546716024</v>
      </c>
      <c r="J17" s="201">
        <f>'R noise'!E14+Q17</f>
        <v>-100.77360311330347</v>
      </c>
      <c r="K17" s="201">
        <f>'R noise'!F14+Q17</f>
        <v>-107.58911631268228</v>
      </c>
      <c r="L17" s="86">
        <f>'R noise'!G14+Q17</f>
        <v>-324.55554158033738</v>
      </c>
      <c r="M17" s="209">
        <f t="shared" si="11"/>
        <v>-68.238044661779341</v>
      </c>
      <c r="N17" s="201">
        <f>M17-20*LOG10('Top Level'!L$10)</f>
        <v>-68.238044661779341</v>
      </c>
      <c r="P17" s="201">
        <f>'PLL filter cal'!E28</f>
        <v>0.84930715918725597</v>
      </c>
      <c r="Q17" s="201">
        <f>'PLL filter cal'!F28</f>
        <v>-18.089703154398812</v>
      </c>
      <c r="S17" s="210">
        <f t="shared" si="12"/>
        <v>10</v>
      </c>
      <c r="T17" s="211">
        <f t="shared" si="13"/>
        <v>1.1293882381905064E-8</v>
      </c>
      <c r="U17" s="86">
        <f t="shared" si="14"/>
        <v>0.14041903415987106</v>
      </c>
      <c r="V17" s="53">
        <f t="shared" si="15"/>
        <v>1</v>
      </c>
      <c r="W17" s="58">
        <f t="shared" si="16"/>
        <v>10</v>
      </c>
      <c r="X17" s="58">
        <f t="shared" si="17"/>
        <v>20</v>
      </c>
      <c r="Y17" s="212">
        <f t="shared" si="18"/>
        <v>1.1713894462023816E-3</v>
      </c>
      <c r="Z17" s="212">
        <f t="shared" si="19"/>
        <v>2.846243062238915E-3</v>
      </c>
      <c r="AA17" s="212">
        <f t="shared" si="20"/>
        <v>3.3497072320730669E-3</v>
      </c>
      <c r="AC17" s="211"/>
      <c r="AD17" s="86">
        <f t="shared" si="21"/>
        <v>45731.004221503455</v>
      </c>
      <c r="AE17" s="86">
        <f t="shared" si="22"/>
        <v>444468.93018083146</v>
      </c>
      <c r="AF17" s="212">
        <f t="shared" si="23"/>
        <v>797475.85191865603</v>
      </c>
      <c r="AH17" s="53">
        <f t="shared" si="24"/>
        <v>0</v>
      </c>
      <c r="AI17" s="58">
        <f t="shared" si="25"/>
        <v>10</v>
      </c>
      <c r="AJ17" s="58">
        <f t="shared" si="26"/>
        <v>20</v>
      </c>
      <c r="AK17" s="212">
        <f t="shared" si="27"/>
        <v>0</v>
      </c>
      <c r="AL17" s="212">
        <f t="shared" si="28"/>
        <v>0</v>
      </c>
      <c r="AM17" s="212">
        <f t="shared" si="29"/>
        <v>0</v>
      </c>
      <c r="AO17" s="53">
        <f t="shared" si="30"/>
        <v>0</v>
      </c>
      <c r="AP17" s="58">
        <f t="shared" si="31"/>
        <v>10</v>
      </c>
      <c r="AQ17" s="58">
        <f t="shared" si="32"/>
        <v>20</v>
      </c>
      <c r="AR17" s="212">
        <f t="shared" si="33"/>
        <v>0</v>
      </c>
      <c r="AS17" s="212">
        <f t="shared" si="34"/>
        <v>0</v>
      </c>
      <c r="AT17" s="212">
        <f t="shared" si="35"/>
        <v>0</v>
      </c>
      <c r="AV17" s="53">
        <f t="shared" si="36"/>
        <v>0</v>
      </c>
      <c r="AW17" s="58">
        <f t="shared" si="37"/>
        <v>10</v>
      </c>
      <c r="AX17" s="58">
        <f t="shared" si="38"/>
        <v>20</v>
      </c>
      <c r="AY17" s="212">
        <f t="shared" si="39"/>
        <v>0</v>
      </c>
      <c r="AZ17" s="212">
        <f t="shared" si="40"/>
        <v>0</v>
      </c>
      <c r="BA17" s="212">
        <f t="shared" si="41"/>
        <v>0</v>
      </c>
      <c r="BC17" s="53">
        <f t="shared" si="42"/>
        <v>0</v>
      </c>
      <c r="BD17" s="58">
        <f t="shared" si="43"/>
        <v>10</v>
      </c>
      <c r="BE17" s="58">
        <f t="shared" si="44"/>
        <v>20</v>
      </c>
      <c r="BF17" s="53">
        <f t="shared" si="45"/>
        <v>0</v>
      </c>
      <c r="BG17" s="53">
        <f t="shared" si="46"/>
        <v>0</v>
      </c>
      <c r="BH17" s="212">
        <f t="shared" si="47"/>
        <v>0</v>
      </c>
    </row>
    <row r="18" spans="1:60" ht="18.75" customHeight="1">
      <c r="A18" s="213">
        <v>20</v>
      </c>
      <c r="B18" s="86">
        <f>'PLL filter cal'!D29</f>
        <v>20000</v>
      </c>
      <c r="C18" s="86">
        <f>'vcxo raw'!A38</f>
        <v>-133.9</v>
      </c>
      <c r="D18" s="201">
        <f>'vco raw data'!D18</f>
        <v>-77</v>
      </c>
      <c r="E18" s="208">
        <f t="shared" si="7"/>
        <v>-97.425697623295747</v>
      </c>
      <c r="F18" s="209">
        <f t="shared" si="8"/>
        <v>-67.514154003777548</v>
      </c>
      <c r="G18" s="209">
        <f t="shared" si="9"/>
        <v>-92.59530999401764</v>
      </c>
      <c r="H18" s="86">
        <f t="shared" si="10"/>
        <v>-85.242131181490905</v>
      </c>
      <c r="I18" s="86">
        <f>SDM!B8+P18</f>
        <v>-89.725534404545812</v>
      </c>
      <c r="J18" s="201">
        <f>'R noise'!E15+Q18</f>
        <v>-96.976614725331231</v>
      </c>
      <c r="K18" s="201">
        <f>'R noise'!F15+Q18</f>
        <v>-103.78561331449565</v>
      </c>
      <c r="L18" s="86">
        <f>'R noise'!G15+Q18</f>
        <v>-320.76577891722474</v>
      </c>
      <c r="M18" s="209">
        <f t="shared" si="11"/>
        <v>-67.392637836893613</v>
      </c>
      <c r="N18" s="201">
        <f>M18-20*LOG10('Top Level'!L$10)</f>
        <v>-67.392637836893613</v>
      </c>
      <c r="P18" s="201">
        <f>'PLL filter cal'!E29</f>
        <v>1.6389911708316707</v>
      </c>
      <c r="Q18" s="201">
        <f>'PLL filter cal'!F29</f>
        <v>-8.2421311814909046</v>
      </c>
      <c r="S18" s="210">
        <f t="shared" si="12"/>
        <v>20</v>
      </c>
      <c r="T18" s="211">
        <f t="shared" si="13"/>
        <v>5.7424660214555277E-7</v>
      </c>
      <c r="U18" s="86">
        <f t="shared" si="14"/>
        <v>-5.7935217647608186E-2</v>
      </c>
      <c r="V18" s="53">
        <f t="shared" si="15"/>
        <v>1</v>
      </c>
      <c r="W18" s="58">
        <f t="shared" si="16"/>
        <v>20</v>
      </c>
      <c r="X18" s="58">
        <f t="shared" si="17"/>
        <v>40</v>
      </c>
      <c r="Y18" s="212">
        <f t="shared" si="18"/>
        <v>4.1233509333259812E-3</v>
      </c>
      <c r="Z18" s="212">
        <f t="shared" si="19"/>
        <v>7.6102656641656267E-3</v>
      </c>
      <c r="AA18" s="212">
        <f t="shared" si="20"/>
        <v>6.9738294616792911E-3</v>
      </c>
      <c r="AC18" s="211"/>
      <c r="AD18" s="86">
        <f t="shared" si="21"/>
        <v>505605.08937187202</v>
      </c>
      <c r="AE18" s="86">
        <f t="shared" si="22"/>
        <v>3732681.6111384863</v>
      </c>
      <c r="AF18" s="212">
        <f t="shared" si="23"/>
        <v>6454153.0435332283</v>
      </c>
      <c r="AH18" s="53">
        <f t="shared" si="24"/>
        <v>0</v>
      </c>
      <c r="AI18" s="58">
        <f t="shared" si="25"/>
        <v>20</v>
      </c>
      <c r="AJ18" s="58">
        <f t="shared" si="26"/>
        <v>40</v>
      </c>
      <c r="AK18" s="212">
        <f t="shared" si="27"/>
        <v>0</v>
      </c>
      <c r="AL18" s="212">
        <f t="shared" si="28"/>
        <v>0</v>
      </c>
      <c r="AM18" s="212">
        <f t="shared" si="29"/>
        <v>0</v>
      </c>
      <c r="AO18" s="53">
        <f t="shared" si="30"/>
        <v>0</v>
      </c>
      <c r="AP18" s="58">
        <f t="shared" si="31"/>
        <v>20</v>
      </c>
      <c r="AQ18" s="58">
        <f t="shared" si="32"/>
        <v>40</v>
      </c>
      <c r="AR18" s="212">
        <f t="shared" si="33"/>
        <v>0</v>
      </c>
      <c r="AS18" s="212">
        <f t="shared" si="34"/>
        <v>0</v>
      </c>
      <c r="AT18" s="212">
        <f t="shared" si="35"/>
        <v>0</v>
      </c>
      <c r="AV18" s="53">
        <f t="shared" si="36"/>
        <v>0</v>
      </c>
      <c r="AW18" s="58">
        <f t="shared" si="37"/>
        <v>20</v>
      </c>
      <c r="AX18" s="58">
        <f t="shared" si="38"/>
        <v>40</v>
      </c>
      <c r="AY18" s="212">
        <f t="shared" si="39"/>
        <v>0</v>
      </c>
      <c r="AZ18" s="212">
        <f t="shared" si="40"/>
        <v>0</v>
      </c>
      <c r="BA18" s="212">
        <f t="shared" si="41"/>
        <v>0</v>
      </c>
      <c r="BC18" s="53">
        <f t="shared" si="42"/>
        <v>0</v>
      </c>
      <c r="BD18" s="58">
        <f t="shared" si="43"/>
        <v>20</v>
      </c>
      <c r="BE18" s="58">
        <f t="shared" si="44"/>
        <v>40</v>
      </c>
      <c r="BF18" s="53">
        <f t="shared" si="45"/>
        <v>0</v>
      </c>
      <c r="BG18" s="53">
        <f t="shared" si="46"/>
        <v>0</v>
      </c>
      <c r="BH18" s="212">
        <f t="shared" si="47"/>
        <v>0</v>
      </c>
    </row>
    <row r="19" spans="1:60" ht="18.75" customHeight="1">
      <c r="A19" s="213">
        <v>40</v>
      </c>
      <c r="B19" s="86">
        <f>'PLL filter cal'!D30</f>
        <v>40000</v>
      </c>
      <c r="C19" s="86">
        <f>'vcxo raw'!A39</f>
        <v>-134.80000000000001</v>
      </c>
      <c r="D19" s="201">
        <f>'vco raw data'!D19</f>
        <v>-83</v>
      </c>
      <c r="E19" s="208">
        <f t="shared" si="7"/>
        <v>-101.16876155576911</v>
      </c>
      <c r="F19" s="209">
        <f t="shared" si="8"/>
        <v>-68.246917979611098</v>
      </c>
      <c r="G19" s="209">
        <f t="shared" si="9"/>
        <v>-94.228073969851195</v>
      </c>
      <c r="H19" s="86">
        <f t="shared" si="10"/>
        <v>-84.601867880840089</v>
      </c>
      <c r="I19" s="86">
        <f>SDM!B9+P19</f>
        <v>-78.449885126082847</v>
      </c>
      <c r="J19" s="201">
        <f>'R noise'!E16+Q19</f>
        <v>-96.474862424385478</v>
      </c>
      <c r="K19" s="201">
        <f>'R noise'!F16+Q19</f>
        <v>-103.25831942065645</v>
      </c>
      <c r="L19" s="86">
        <f>'R noise'!G16+Q19</f>
        <v>-320.29215944336926</v>
      </c>
      <c r="M19" s="209">
        <f t="shared" si="11"/>
        <v>-67.741442603238639</v>
      </c>
      <c r="N19" s="201">
        <f>M19-20*LOG10('Top Level'!L$10)</f>
        <v>-67.741442603238639</v>
      </c>
      <c r="P19" s="201">
        <f>'PLL filter cal'!E30</f>
        <v>0.90622719499812798</v>
      </c>
      <c r="Q19" s="201">
        <f>'PLL filter cal'!F30</f>
        <v>-1.6018678808400824</v>
      </c>
      <c r="S19" s="210">
        <f t="shared" si="12"/>
        <v>40</v>
      </c>
      <c r="T19" s="211">
        <f t="shared" si="13"/>
        <v>8.3145026171833486E-7</v>
      </c>
      <c r="U19" s="86">
        <f t="shared" si="14"/>
        <v>-7.5398901359831835E-2</v>
      </c>
      <c r="V19" s="53">
        <f t="shared" si="15"/>
        <v>1</v>
      </c>
      <c r="W19" s="58">
        <f t="shared" si="16"/>
        <v>40</v>
      </c>
      <c r="X19" s="58">
        <f t="shared" si="17"/>
        <v>80</v>
      </c>
      <c r="Y19" s="212">
        <f t="shared" si="18"/>
        <v>7.9232730326124542E-3</v>
      </c>
      <c r="Z19" s="212">
        <f t="shared" si="19"/>
        <v>1.4273811447015741E-2</v>
      </c>
      <c r="AA19" s="212">
        <f t="shared" si="20"/>
        <v>1.2701076828806574E-2</v>
      </c>
      <c r="AC19" s="211"/>
      <c r="AD19" s="86">
        <f t="shared" si="21"/>
        <v>3778439.2419009553</v>
      </c>
      <c r="AE19" s="86">
        <f t="shared" si="22"/>
        <v>27227500.090384543</v>
      </c>
      <c r="AF19" s="212">
        <f t="shared" si="23"/>
        <v>46898121.696967177</v>
      </c>
      <c r="AH19" s="53">
        <f t="shared" si="24"/>
        <v>0</v>
      </c>
      <c r="AI19" s="58">
        <f t="shared" si="25"/>
        <v>40</v>
      </c>
      <c r="AJ19" s="58">
        <f t="shared" si="26"/>
        <v>80</v>
      </c>
      <c r="AK19" s="212">
        <f t="shared" si="27"/>
        <v>0</v>
      </c>
      <c r="AL19" s="212">
        <f t="shared" si="28"/>
        <v>0</v>
      </c>
      <c r="AM19" s="212">
        <f t="shared" si="29"/>
        <v>0</v>
      </c>
      <c r="AO19" s="53">
        <f t="shared" si="30"/>
        <v>0</v>
      </c>
      <c r="AP19" s="58">
        <f t="shared" si="31"/>
        <v>40</v>
      </c>
      <c r="AQ19" s="58">
        <f t="shared" si="32"/>
        <v>80</v>
      </c>
      <c r="AR19" s="212">
        <f t="shared" si="33"/>
        <v>0</v>
      </c>
      <c r="AS19" s="212">
        <f t="shared" si="34"/>
        <v>0</v>
      </c>
      <c r="AT19" s="212">
        <f t="shared" si="35"/>
        <v>0</v>
      </c>
      <c r="AV19" s="53">
        <f t="shared" si="36"/>
        <v>0</v>
      </c>
      <c r="AW19" s="58">
        <f t="shared" si="37"/>
        <v>40</v>
      </c>
      <c r="AX19" s="58">
        <f t="shared" si="38"/>
        <v>80</v>
      </c>
      <c r="AY19" s="212">
        <f t="shared" si="39"/>
        <v>0</v>
      </c>
      <c r="AZ19" s="212">
        <f t="shared" si="40"/>
        <v>0</v>
      </c>
      <c r="BA19" s="212">
        <f t="shared" si="41"/>
        <v>0</v>
      </c>
      <c r="BC19" s="53">
        <f t="shared" si="42"/>
        <v>0</v>
      </c>
      <c r="BD19" s="58">
        <f t="shared" si="43"/>
        <v>40</v>
      </c>
      <c r="BE19" s="58">
        <f t="shared" si="44"/>
        <v>80</v>
      </c>
      <c r="BF19" s="53">
        <f t="shared" si="45"/>
        <v>0</v>
      </c>
      <c r="BG19" s="53">
        <f t="shared" si="46"/>
        <v>0</v>
      </c>
      <c r="BH19" s="212">
        <f t="shared" si="47"/>
        <v>0</v>
      </c>
    </row>
    <row r="20" spans="1:60" ht="18.75" customHeight="1">
      <c r="A20" s="213">
        <v>80</v>
      </c>
      <c r="B20" s="86">
        <f>'PLL filter cal'!D31</f>
        <v>80000</v>
      </c>
      <c r="C20" s="86">
        <f>'vcxo raw'!A40</f>
        <v>-135.69999999999999</v>
      </c>
      <c r="D20" s="201">
        <f>'vco raw data'!D20</f>
        <v>-89</v>
      </c>
      <c r="E20" s="208">
        <f t="shared" si="7"/>
        <v>-108.13023534072143</v>
      </c>
      <c r="F20" s="209">
        <f t="shared" si="8"/>
        <v>-72.198091807923603</v>
      </c>
      <c r="G20" s="209">
        <f t="shared" si="9"/>
        <v>-99.079247798163678</v>
      </c>
      <c r="H20" s="86">
        <f t="shared" si="10"/>
        <v>-87.767340890378705</v>
      </c>
      <c r="I20" s="86">
        <f>SDM!B10+P20</f>
        <v>-70.491253873561774</v>
      </c>
      <c r="J20" s="201">
        <f>'R noise'!E17+Q20</f>
        <v>-100.1030233389917</v>
      </c>
      <c r="K20" s="201">
        <f>'R noise'!F17+Q20</f>
        <v>-106.79162084734772</v>
      </c>
      <c r="L20" s="86">
        <f>'R noise'!G17+Q20</f>
        <v>-324.02133807377959</v>
      </c>
      <c r="M20" s="209">
        <f t="shared" si="11"/>
        <v>-68.195389222227021</v>
      </c>
      <c r="N20" s="201">
        <f>M20-20*LOG10('Top Level'!L$10)</f>
        <v>-68.195389222227021</v>
      </c>
      <c r="P20" s="201">
        <f>'PLL filter cal'!E31</f>
        <v>-3.0449466333143866</v>
      </c>
      <c r="Q20" s="201">
        <f>'PLL filter cal'!F31</f>
        <v>1.2326591096212942</v>
      </c>
      <c r="S20" s="210">
        <f t="shared" si="12"/>
        <v>80</v>
      </c>
      <c r="T20" s="211">
        <f t="shared" si="13"/>
        <v>1.1697058953369668E-10</v>
      </c>
      <c r="U20" s="86">
        <f t="shared" si="14"/>
        <v>0.31739009555913233</v>
      </c>
      <c r="V20" s="53">
        <f t="shared" si="15"/>
        <v>1</v>
      </c>
      <c r="W20" s="58">
        <f t="shared" si="16"/>
        <v>80</v>
      </c>
      <c r="X20" s="58">
        <f t="shared" si="17"/>
        <v>100</v>
      </c>
      <c r="Y20" s="212">
        <f t="shared" si="18"/>
        <v>7.4146678007392525E-3</v>
      </c>
      <c r="Z20" s="212">
        <f t="shared" si="19"/>
        <v>1.0678697093200368E-2</v>
      </c>
      <c r="AA20" s="212">
        <f t="shared" si="20"/>
        <v>6.528058584922232E-3</v>
      </c>
      <c r="AC20" s="211"/>
      <c r="AD20" s="86">
        <f t="shared" si="21"/>
        <v>21342873.297685377</v>
      </c>
      <c r="AE20" s="86">
        <f t="shared" si="22"/>
        <v>48028550.715594441</v>
      </c>
      <c r="AF20" s="212">
        <f t="shared" si="23"/>
        <v>53371354.835818127</v>
      </c>
      <c r="AH20" s="53">
        <f t="shared" si="24"/>
        <v>0</v>
      </c>
      <c r="AI20" s="58">
        <f t="shared" si="25"/>
        <v>80</v>
      </c>
      <c r="AJ20" s="58">
        <f t="shared" si="26"/>
        <v>100</v>
      </c>
      <c r="AK20" s="212">
        <f t="shared" si="27"/>
        <v>0</v>
      </c>
      <c r="AL20" s="212">
        <f t="shared" si="28"/>
        <v>0</v>
      </c>
      <c r="AM20" s="212">
        <f t="shared" si="29"/>
        <v>0</v>
      </c>
      <c r="AO20" s="53">
        <f t="shared" si="30"/>
        <v>0</v>
      </c>
      <c r="AP20" s="58">
        <f t="shared" si="31"/>
        <v>80</v>
      </c>
      <c r="AQ20" s="58">
        <f t="shared" si="32"/>
        <v>100</v>
      </c>
      <c r="AR20" s="212">
        <f t="shared" si="33"/>
        <v>0</v>
      </c>
      <c r="AS20" s="212">
        <f t="shared" si="34"/>
        <v>0</v>
      </c>
      <c r="AT20" s="212">
        <f t="shared" si="35"/>
        <v>0</v>
      </c>
      <c r="AV20" s="53">
        <f t="shared" si="36"/>
        <v>0</v>
      </c>
      <c r="AW20" s="58">
        <f t="shared" si="37"/>
        <v>80</v>
      </c>
      <c r="AX20" s="58">
        <f t="shared" si="38"/>
        <v>100</v>
      </c>
      <c r="AY20" s="212">
        <f t="shared" si="39"/>
        <v>0</v>
      </c>
      <c r="AZ20" s="212">
        <f t="shared" si="40"/>
        <v>0</v>
      </c>
      <c r="BA20" s="212">
        <f t="shared" si="41"/>
        <v>0</v>
      </c>
      <c r="BC20" s="53">
        <f t="shared" si="42"/>
        <v>0</v>
      </c>
      <c r="BD20" s="58">
        <f t="shared" si="43"/>
        <v>80</v>
      </c>
      <c r="BE20" s="58">
        <f t="shared" si="44"/>
        <v>100</v>
      </c>
      <c r="BF20" s="53">
        <f t="shared" si="45"/>
        <v>0</v>
      </c>
      <c r="BG20" s="53">
        <f t="shared" si="46"/>
        <v>0</v>
      </c>
      <c r="BH20" s="212">
        <f t="shared" si="47"/>
        <v>0</v>
      </c>
    </row>
    <row r="21" spans="1:60" ht="18.75" customHeight="1">
      <c r="A21" s="213">
        <v>100</v>
      </c>
      <c r="B21" s="86">
        <f>'PLL filter cal'!D32</f>
        <v>100000</v>
      </c>
      <c r="C21" s="86">
        <f>'vcxo raw'!A41</f>
        <v>-136</v>
      </c>
      <c r="D21" s="201">
        <f>'vco raw data'!D21</f>
        <v>-91</v>
      </c>
      <c r="E21" s="208">
        <f t="shared" si="7"/>
        <v>-111.07962967031993</v>
      </c>
      <c r="F21" s="209">
        <f t="shared" si="8"/>
        <v>-74.178386007441546</v>
      </c>
      <c r="G21" s="209">
        <f t="shared" si="9"/>
        <v>-101.35954199768163</v>
      </c>
      <c r="H21" s="86">
        <f t="shared" si="10"/>
        <v>-89.492541499122311</v>
      </c>
      <c r="I21" s="86">
        <f>SDM!B11+P21</f>
        <v>-68.693956003246157</v>
      </c>
      <c r="J21" s="201">
        <f>'R noise'!E18+Q21</f>
        <v>-102.07082081405362</v>
      </c>
      <c r="K21" s="201">
        <f>'R noise'!F18+Q21</f>
        <v>-108.69467627304051</v>
      </c>
      <c r="L21" s="86">
        <f>'R noise'!G18+Q21</f>
        <v>-326.05399954185856</v>
      </c>
      <c r="M21" s="209">
        <f t="shared" si="11"/>
        <v>-67.580223656441746</v>
      </c>
      <c r="N21" s="201">
        <f>M21-20*LOG10('Top Level'!L$10)</f>
        <v>-67.580223656441746</v>
      </c>
      <c r="P21" s="201">
        <f>'PLL filter cal'!E32</f>
        <v>-5.0252408328323188</v>
      </c>
      <c r="Q21" s="201">
        <f>'PLL filter cal'!F32</f>
        <v>1.5074585008776842</v>
      </c>
      <c r="S21" s="210">
        <f t="shared" si="12"/>
        <v>100</v>
      </c>
      <c r="T21" s="211">
        <f t="shared" si="13"/>
        <v>1.5455335586523173E-7</v>
      </c>
      <c r="U21" s="86">
        <f t="shared" ref="U21:U22" si="48">(N23-N21)/(20*LOG10(A23/A21))</f>
        <v>5.2899194882549778E-3</v>
      </c>
      <c r="V21" s="53">
        <f t="shared" si="15"/>
        <v>1</v>
      </c>
      <c r="W21" s="58">
        <f t="shared" si="16"/>
        <v>100</v>
      </c>
      <c r="X21" s="58">
        <f t="shared" si="17"/>
        <v>200</v>
      </c>
      <c r="Y21" s="212">
        <f t="shared" si="18"/>
        <v>1.7274560407415689E-2</v>
      </c>
      <c r="Z21" s="212">
        <f t="shared" si="19"/>
        <v>3.4803414114212422E-2</v>
      </c>
      <c r="AA21" s="212">
        <f t="shared" si="20"/>
        <v>3.5057707413593465E-2</v>
      </c>
      <c r="AC21" s="211"/>
      <c r="AD21" s="86">
        <f t="shared" si="21"/>
        <v>57986578.694591329</v>
      </c>
      <c r="AE21" s="86">
        <f t="shared" si="22"/>
        <v>467307037.3490662</v>
      </c>
      <c r="AF21" s="212">
        <f t="shared" si="23"/>
        <v>818640917.30894971</v>
      </c>
      <c r="AH21" s="53">
        <f t="shared" si="24"/>
        <v>0</v>
      </c>
      <c r="AI21" s="58">
        <f t="shared" si="25"/>
        <v>100</v>
      </c>
      <c r="AJ21" s="58">
        <f t="shared" si="26"/>
        <v>200</v>
      </c>
      <c r="AK21" s="212">
        <f t="shared" si="27"/>
        <v>0</v>
      </c>
      <c r="AL21" s="212">
        <f t="shared" si="28"/>
        <v>0</v>
      </c>
      <c r="AM21" s="212">
        <f t="shared" si="29"/>
        <v>0</v>
      </c>
      <c r="AO21" s="53">
        <f t="shared" si="30"/>
        <v>0</v>
      </c>
      <c r="AP21" s="58">
        <f t="shared" si="31"/>
        <v>100</v>
      </c>
      <c r="AQ21" s="58">
        <f t="shared" si="32"/>
        <v>200</v>
      </c>
      <c r="AR21" s="212">
        <f t="shared" si="33"/>
        <v>0</v>
      </c>
      <c r="AS21" s="212">
        <f t="shared" si="34"/>
        <v>0</v>
      </c>
      <c r="AT21" s="212">
        <f t="shared" si="35"/>
        <v>0</v>
      </c>
      <c r="AV21" s="53">
        <f t="shared" si="36"/>
        <v>0</v>
      </c>
      <c r="AW21" s="58">
        <f t="shared" si="37"/>
        <v>100</v>
      </c>
      <c r="AX21" s="58">
        <f t="shared" si="38"/>
        <v>200</v>
      </c>
      <c r="AY21" s="212">
        <f t="shared" si="39"/>
        <v>0</v>
      </c>
      <c r="AZ21" s="212">
        <f t="shared" si="40"/>
        <v>0</v>
      </c>
      <c r="BA21" s="212">
        <f t="shared" si="41"/>
        <v>0</v>
      </c>
      <c r="BC21" s="53">
        <f t="shared" si="42"/>
        <v>0</v>
      </c>
      <c r="BD21" s="58">
        <f t="shared" si="43"/>
        <v>100</v>
      </c>
      <c r="BE21" s="58">
        <f t="shared" si="44"/>
        <v>200</v>
      </c>
      <c r="BF21" s="53">
        <f t="shared" si="45"/>
        <v>0</v>
      </c>
      <c r="BG21" s="53">
        <f t="shared" si="46"/>
        <v>0</v>
      </c>
      <c r="BH21" s="212">
        <f t="shared" si="47"/>
        <v>0</v>
      </c>
    </row>
    <row r="22" spans="1:60" ht="18.75" customHeight="1">
      <c r="A22" s="213">
        <v>200</v>
      </c>
      <c r="B22" s="86">
        <f>'PLL filter cal'!D33</f>
        <v>200000</v>
      </c>
      <c r="C22" s="86">
        <f>'vcxo raw'!A42</f>
        <v>-138.4</v>
      </c>
      <c r="D22" s="201">
        <f>'vco raw data'!D22</f>
        <v>-97</v>
      </c>
      <c r="E22" s="208">
        <f t="shared" si="7"/>
        <v>-122.21730737095717</v>
      </c>
      <c r="F22" s="209">
        <f t="shared" si="8"/>
        <v>-82.305763751438974</v>
      </c>
      <c r="G22" s="209">
        <f t="shared" si="9"/>
        <v>-111.88691974167907</v>
      </c>
      <c r="H22" s="86">
        <f t="shared" si="10"/>
        <v>-95.769932147903745</v>
      </c>
      <c r="I22" s="86">
        <f>SDM!B12+P22</f>
        <v>-65.612491435332089</v>
      </c>
      <c r="J22" s="201">
        <f>'R noise'!E19+Q22</f>
        <v>-110.31278705560322</v>
      </c>
      <c r="K22" s="201">
        <f>'R noise'!F19+Q22</f>
        <v>-116.51879474805349</v>
      </c>
      <c r="L22" s="86">
        <f>'R noise'!G19+Q22</f>
        <v>-334.58723997766674</v>
      </c>
      <c r="M22" s="209">
        <f t="shared" si="11"/>
        <v>-65.516092187623343</v>
      </c>
      <c r="N22" s="201">
        <f>M22-20*LOG10('Top Level'!L$10)</f>
        <v>-65.516092187623343</v>
      </c>
      <c r="P22" s="201">
        <f>'PLL filter cal'!E33</f>
        <v>-13.152618576829759</v>
      </c>
      <c r="Q22" s="201">
        <f>'PLL filter cal'!F33</f>
        <v>1.2300678520962522</v>
      </c>
      <c r="S22" s="210">
        <f t="shared" si="12"/>
        <v>200</v>
      </c>
      <c r="T22" s="211">
        <f t="shared" si="13"/>
        <v>2.4762408919525454E+24</v>
      </c>
      <c r="U22" s="86">
        <f t="shared" si="48"/>
        <v>-2.9188103194296939</v>
      </c>
      <c r="V22" s="53">
        <f t="shared" si="15"/>
        <v>1</v>
      </c>
      <c r="W22" s="58">
        <f t="shared" si="16"/>
        <v>200</v>
      </c>
      <c r="X22" s="58">
        <f t="shared" si="17"/>
        <v>400</v>
      </c>
      <c r="Y22" s="212">
        <f t="shared" si="18"/>
        <v>-1.1608843820546735E-2</v>
      </c>
      <c r="Z22" s="212">
        <f t="shared" si="19"/>
        <v>-4.0599440490942052E-4</v>
      </c>
      <c r="AA22" s="212">
        <f t="shared" si="20"/>
        <v>2.2405698831274631E-2</v>
      </c>
      <c r="AC22" s="211"/>
      <c r="AD22" s="86">
        <f t="shared" si="21"/>
        <v>-791637637.39956439</v>
      </c>
      <c r="AE22" s="86">
        <f t="shared" si="22"/>
        <v>-110743311.38164972</v>
      </c>
      <c r="AF22" s="212">
        <f t="shared" si="23"/>
        <v>1361788652.0358293</v>
      </c>
      <c r="AH22" s="53">
        <f t="shared" si="24"/>
        <v>0</v>
      </c>
      <c r="AI22" s="58">
        <f t="shared" si="25"/>
        <v>200</v>
      </c>
      <c r="AJ22" s="58">
        <f t="shared" si="26"/>
        <v>400</v>
      </c>
      <c r="AK22" s="212">
        <f t="shared" si="27"/>
        <v>0</v>
      </c>
      <c r="AL22" s="212">
        <f t="shared" si="28"/>
        <v>0</v>
      </c>
      <c r="AM22" s="212">
        <f t="shared" si="29"/>
        <v>0</v>
      </c>
      <c r="AO22" s="53">
        <f t="shared" si="30"/>
        <v>0</v>
      </c>
      <c r="AP22" s="58">
        <f t="shared" si="31"/>
        <v>200</v>
      </c>
      <c r="AQ22" s="58">
        <f t="shared" si="32"/>
        <v>400</v>
      </c>
      <c r="AR22" s="212">
        <f t="shared" si="33"/>
        <v>0</v>
      </c>
      <c r="AS22" s="212">
        <f t="shared" si="34"/>
        <v>0</v>
      </c>
      <c r="AT22" s="212">
        <f t="shared" si="35"/>
        <v>0</v>
      </c>
      <c r="AV22" s="53">
        <f t="shared" si="36"/>
        <v>0</v>
      </c>
      <c r="AW22" s="58">
        <f t="shared" si="37"/>
        <v>200</v>
      </c>
      <c r="AX22" s="58">
        <f t="shared" si="38"/>
        <v>400</v>
      </c>
      <c r="AY22" s="212">
        <f t="shared" si="39"/>
        <v>0</v>
      </c>
      <c r="AZ22" s="212">
        <f t="shared" si="40"/>
        <v>0</v>
      </c>
      <c r="BA22" s="212">
        <f t="shared" si="41"/>
        <v>0</v>
      </c>
      <c r="BC22" s="53">
        <f t="shared" si="42"/>
        <v>0</v>
      </c>
      <c r="BD22" s="58">
        <f t="shared" si="43"/>
        <v>200</v>
      </c>
      <c r="BE22" s="58">
        <f t="shared" si="44"/>
        <v>400</v>
      </c>
      <c r="BF22" s="53">
        <f t="shared" si="45"/>
        <v>0</v>
      </c>
      <c r="BG22" s="53">
        <f t="shared" si="46"/>
        <v>0</v>
      </c>
      <c r="BH22" s="212">
        <f t="shared" si="47"/>
        <v>0</v>
      </c>
    </row>
    <row r="23" spans="1:60" ht="18.75" customHeight="1">
      <c r="A23" s="213">
        <v>400</v>
      </c>
      <c r="B23" s="86">
        <f>'PLL filter cal'!D34</f>
        <v>400000</v>
      </c>
      <c r="C23" s="86">
        <f>'vcxo raw'!A43</f>
        <v>-140.80000000000001</v>
      </c>
      <c r="D23" s="201">
        <f>'vco raw data'!D23</f>
        <v>-103</v>
      </c>
      <c r="E23" s="208">
        <f t="shared" si="7"/>
        <v>-135.68123873323768</v>
      </c>
      <c r="F23" s="209">
        <f t="shared" si="8"/>
        <v>-92.759395157079666</v>
      </c>
      <c r="G23" s="209">
        <f t="shared" si="9"/>
        <v>-124.74055114731976</v>
      </c>
      <c r="H23" s="86">
        <f t="shared" si="10"/>
        <v>-102.49104577282235</v>
      </c>
      <c r="I23" s="86">
        <f>SDM!B13+P23</f>
        <v>-67.530953329713697</v>
      </c>
      <c r="J23" s="201">
        <f>'R noise'!E20+Q23</f>
        <v>-120.94449776765119</v>
      </c>
      <c r="K23" s="201">
        <f>'R noise'!F20+Q23</f>
        <v>-126.11374411703285</v>
      </c>
      <c r="L23" s="86">
        <f>'R noise'!G20+Q23</f>
        <v>-344.89158917985395</v>
      </c>
      <c r="M23" s="209">
        <f t="shared" si="11"/>
        <v>-67.516526678817257</v>
      </c>
      <c r="N23" s="201">
        <f>M23-20*LOG10('Top Level'!L$10)</f>
        <v>-67.516526678817257</v>
      </c>
      <c r="P23" s="201">
        <f>'PLL filter cal'!E34</f>
        <v>-23.606249982470445</v>
      </c>
      <c r="Q23" s="201">
        <f>'PLL filter cal'!F34</f>
        <v>0.50895422717765548</v>
      </c>
      <c r="S23" s="210">
        <f t="shared" si="12"/>
        <v>400</v>
      </c>
      <c r="T23" s="211">
        <f t="shared" si="13"/>
        <v>7.4738624927215937E+47</v>
      </c>
      <c r="U23" s="86">
        <f t="shared" ref="U23:U25" si="49">(N24-N23)/(20*LOG10(A24/A23))</f>
        <v>-4.8754563371059794</v>
      </c>
      <c r="V23" s="53">
        <f t="shared" si="15"/>
        <v>1</v>
      </c>
      <c r="W23" s="58">
        <f t="shared" si="16"/>
        <v>400</v>
      </c>
      <c r="X23" s="58">
        <f t="shared" si="17"/>
        <v>1000</v>
      </c>
      <c r="Y23" s="212">
        <f t="shared" si="18"/>
        <v>-8.0975562479946132E-3</v>
      </c>
      <c r="Z23" s="212">
        <f t="shared" si="19"/>
        <v>-2.6669551236801043E-6</v>
      </c>
      <c r="AA23" s="212">
        <f t="shared" si="20"/>
        <v>1.6189778585741867E-2</v>
      </c>
      <c r="AC23" s="211"/>
      <c r="AD23" s="86">
        <f t="shared" si="21"/>
        <v>-1679441249.3920584</v>
      </c>
      <c r="AE23" s="86">
        <f t="shared" si="22"/>
        <v>-3457057.2187250275</v>
      </c>
      <c r="AF23" s="212">
        <f t="shared" si="23"/>
        <v>3351968384.3466668</v>
      </c>
      <c r="AH23" s="53">
        <f t="shared" si="24"/>
        <v>0</v>
      </c>
      <c r="AI23" s="58">
        <f t="shared" si="25"/>
        <v>400</v>
      </c>
      <c r="AJ23" s="58">
        <f t="shared" si="26"/>
        <v>1000</v>
      </c>
      <c r="AK23" s="212">
        <f t="shared" si="27"/>
        <v>0</v>
      </c>
      <c r="AL23" s="212">
        <f t="shared" si="28"/>
        <v>0</v>
      </c>
      <c r="AM23" s="212">
        <f t="shared" si="29"/>
        <v>0</v>
      </c>
      <c r="AO23" s="53">
        <f t="shared" si="30"/>
        <v>0</v>
      </c>
      <c r="AP23" s="58">
        <f t="shared" si="31"/>
        <v>400</v>
      </c>
      <c r="AQ23" s="58">
        <f t="shared" si="32"/>
        <v>1000</v>
      </c>
      <c r="AR23" s="212">
        <f t="shared" si="33"/>
        <v>0</v>
      </c>
      <c r="AS23" s="212">
        <f t="shared" si="34"/>
        <v>0</v>
      </c>
      <c r="AT23" s="212">
        <f t="shared" si="35"/>
        <v>0</v>
      </c>
      <c r="AV23" s="53">
        <f t="shared" si="36"/>
        <v>0</v>
      </c>
      <c r="AW23" s="58">
        <f t="shared" si="37"/>
        <v>400</v>
      </c>
      <c r="AX23" s="58">
        <f t="shared" si="38"/>
        <v>1000</v>
      </c>
      <c r="AY23" s="212">
        <f t="shared" si="39"/>
        <v>0</v>
      </c>
      <c r="AZ23" s="212">
        <f t="shared" si="40"/>
        <v>0</v>
      </c>
      <c r="BA23" s="212">
        <f t="shared" si="41"/>
        <v>0</v>
      </c>
      <c r="BC23" s="53">
        <f t="shared" si="42"/>
        <v>0</v>
      </c>
      <c r="BD23" s="58">
        <f t="shared" si="43"/>
        <v>400</v>
      </c>
      <c r="BE23" s="58">
        <f t="shared" si="44"/>
        <v>1000</v>
      </c>
      <c r="BF23" s="53">
        <f t="shared" si="45"/>
        <v>0</v>
      </c>
      <c r="BG23" s="53">
        <f t="shared" si="46"/>
        <v>0</v>
      </c>
      <c r="BH23" s="212">
        <f t="shared" si="47"/>
        <v>0</v>
      </c>
    </row>
    <row r="24" spans="1:60" ht="18.75" customHeight="1">
      <c r="A24" s="213">
        <v>1000</v>
      </c>
      <c r="B24" s="86">
        <f>'PLL filter cal'!D35</f>
        <v>1000000</v>
      </c>
      <c r="C24" s="86">
        <f>'vcxo raw'!A44</f>
        <v>-144</v>
      </c>
      <c r="D24" s="201">
        <f>'vco raw data'!D24</f>
        <v>-111</v>
      </c>
      <c r="E24" s="208">
        <f t="shared" si="7"/>
        <v>-155.13537673266501</v>
      </c>
      <c r="F24" s="209">
        <f t="shared" si="8"/>
        <v>-108.23413306978661</v>
      </c>
      <c r="G24" s="209">
        <f t="shared" si="9"/>
        <v>-143.41528906002668</v>
      </c>
      <c r="H24" s="86">
        <f t="shared" si="10"/>
        <v>-110.90403413288493</v>
      </c>
      <c r="I24" s="86">
        <f>SDM!B14+P24</f>
        <v>-128.02112322523089</v>
      </c>
      <c r="J24" s="201">
        <f>'R noise'!E21+Q24</f>
        <v>-136.51398174648347</v>
      </c>
      <c r="K24" s="201">
        <f>'R noise'!F21+Q24</f>
        <v>-138.09257080520075</v>
      </c>
      <c r="L24" s="86">
        <f>'R noise'!G21+Q24</f>
        <v>-356.59038573315627</v>
      </c>
      <c r="M24" s="209">
        <f t="shared" si="11"/>
        <v>-106.31930942017914</v>
      </c>
      <c r="N24" s="201">
        <f>M24-20*LOG10('Top Level'!L$10)</f>
        <v>-106.31930942017914</v>
      </c>
      <c r="P24" s="201">
        <f>'PLL filter cal'!E35</f>
        <v>-39.080987895177387</v>
      </c>
      <c r="Q24" s="201">
        <f>'PLL filter cal'!F35</f>
        <v>9.5965867115069103E-2</v>
      </c>
      <c r="S24" s="210">
        <f t="shared" si="12"/>
        <v>1000</v>
      </c>
      <c r="T24" s="211">
        <f t="shared" si="13"/>
        <v>3.7668767213473886E-6</v>
      </c>
      <c r="U24" s="86">
        <f t="shared" si="49"/>
        <v>-0.43399269577410282</v>
      </c>
      <c r="V24" s="53">
        <f t="shared" si="15"/>
        <v>1</v>
      </c>
      <c r="W24" s="58">
        <f t="shared" si="16"/>
        <v>1000</v>
      </c>
      <c r="X24" s="58">
        <f t="shared" si="17"/>
        <v>1000</v>
      </c>
      <c r="Y24" s="212">
        <f t="shared" si="18"/>
        <v>1.7678567294231572E-4</v>
      </c>
      <c r="Z24" s="212">
        <f t="shared" si="19"/>
        <v>1.7678567294231572E-4</v>
      </c>
      <c r="AA24" s="212">
        <f t="shared" si="20"/>
        <v>0</v>
      </c>
      <c r="AC24" s="211"/>
      <c r="AD24" s="86">
        <f t="shared" si="21"/>
        <v>10946590.750761515</v>
      </c>
      <c r="AE24" s="86">
        <f t="shared" si="22"/>
        <v>10946590.750761515</v>
      </c>
      <c r="AF24" s="212">
        <f t="shared" si="23"/>
        <v>0</v>
      </c>
      <c r="AH24" s="53">
        <f t="shared" si="24"/>
        <v>0</v>
      </c>
      <c r="AI24" s="58">
        <f t="shared" si="25"/>
        <v>1000</v>
      </c>
      <c r="AJ24" s="58">
        <f t="shared" si="26"/>
        <v>10000</v>
      </c>
      <c r="AK24" s="212">
        <f t="shared" si="27"/>
        <v>0</v>
      </c>
      <c r="AL24" s="212">
        <f t="shared" si="28"/>
        <v>0</v>
      </c>
      <c r="AM24" s="212">
        <f t="shared" si="29"/>
        <v>0</v>
      </c>
      <c r="AO24" s="53">
        <f t="shared" si="30"/>
        <v>0</v>
      </c>
      <c r="AP24" s="58">
        <f t="shared" si="31"/>
        <v>1000</v>
      </c>
      <c r="AQ24" s="58">
        <f t="shared" si="32"/>
        <v>10000</v>
      </c>
      <c r="AR24" s="212">
        <f t="shared" si="33"/>
        <v>0</v>
      </c>
      <c r="AS24" s="212">
        <f t="shared" si="34"/>
        <v>0</v>
      </c>
      <c r="AT24" s="212">
        <f t="shared" si="35"/>
        <v>0</v>
      </c>
      <c r="AV24" s="53">
        <f t="shared" si="36"/>
        <v>0</v>
      </c>
      <c r="AW24" s="58">
        <f t="shared" si="37"/>
        <v>1000</v>
      </c>
      <c r="AX24" s="58">
        <f t="shared" si="38"/>
        <v>10000</v>
      </c>
      <c r="AY24" s="212">
        <f t="shared" si="39"/>
        <v>0</v>
      </c>
      <c r="AZ24" s="212">
        <f t="shared" si="40"/>
        <v>0</v>
      </c>
      <c r="BA24" s="212">
        <f t="shared" si="41"/>
        <v>0</v>
      </c>
      <c r="BC24" s="53">
        <f t="shared" si="42"/>
        <v>0</v>
      </c>
      <c r="BD24" s="58">
        <f t="shared" si="43"/>
        <v>1000</v>
      </c>
      <c r="BE24" s="58">
        <f t="shared" si="44"/>
        <v>10000</v>
      </c>
      <c r="BF24" s="53">
        <f t="shared" si="45"/>
        <v>0</v>
      </c>
      <c r="BG24" s="53">
        <f t="shared" si="46"/>
        <v>0</v>
      </c>
      <c r="BH24" s="212">
        <f t="shared" si="47"/>
        <v>0</v>
      </c>
    </row>
    <row r="25" spans="1:60" ht="18.75" customHeight="1">
      <c r="A25" s="213">
        <v>10000</v>
      </c>
      <c r="B25" s="86">
        <f>'PLL filter cal'!D36</f>
        <v>10000000</v>
      </c>
      <c r="C25" s="86">
        <f>'vcxo raw'!A45</f>
        <v>-200</v>
      </c>
      <c r="D25" s="201">
        <f>'vco raw data'!D25</f>
        <v>-115</v>
      </c>
      <c r="E25" s="208">
        <f t="shared" si="7"/>
        <v>-210.94437590809861</v>
      </c>
      <c r="F25" s="209">
        <f t="shared" si="8"/>
        <v>-154.04313224522019</v>
      </c>
      <c r="G25" s="209">
        <f t="shared" si="9"/>
        <v>-245.22428823546028</v>
      </c>
      <c r="H25" s="86">
        <f t="shared" si="10"/>
        <v>-114.99974463675878</v>
      </c>
      <c r="I25" s="214">
        <f>I24-50</f>
        <v>-178.02112322523089</v>
      </c>
      <c r="J25" s="201">
        <f>'R noise'!E22+Q25</f>
        <v>-181.90285765968511</v>
      </c>
      <c r="K25" s="201">
        <f>'R noise'!F22+Q25</f>
        <v>-165.69821228937164</v>
      </c>
      <c r="L25" s="86">
        <f>'R noise'!G22+Q25</f>
        <v>-389.50841134061278</v>
      </c>
      <c r="M25" s="209">
        <f t="shared" si="11"/>
        <v>-114.99916333566119</v>
      </c>
      <c r="N25" s="201">
        <f>M25-20*LOG10('Top Level'!L$10)</f>
        <v>-114.99916333566119</v>
      </c>
      <c r="P25" s="201">
        <f>'PLL filter cal'!E36</f>
        <v>-84.889987070610985</v>
      </c>
      <c r="Q25" s="201">
        <f>'PLL filter cal'!F36</f>
        <v>2.5536324122834859E-4</v>
      </c>
      <c r="S25" s="210">
        <f t="shared" si="12"/>
        <v>10000</v>
      </c>
      <c r="T25" s="211" t="e">
        <f>(10^(N25/20)/((A25*1000)^((N26-N25)/20*LOG10(A26/A25))))^2</f>
        <v>#NUM!</v>
      </c>
      <c r="U25" s="86" t="e">
        <f t="shared" si="49"/>
        <v>#NUM!</v>
      </c>
      <c r="V25" s="53">
        <f t="shared" si="15"/>
        <v>0</v>
      </c>
      <c r="W25" s="58">
        <f t="shared" si="16"/>
        <v>10000</v>
      </c>
      <c r="X25" s="58">
        <f t="shared" si="17"/>
        <v>0</v>
      </c>
      <c r="Y25" s="20"/>
      <c r="Z25" s="20"/>
      <c r="AA25" s="20"/>
      <c r="AH25" s="53">
        <f t="shared" si="24"/>
        <v>0</v>
      </c>
      <c r="AI25" s="58">
        <f t="shared" si="25"/>
        <v>10000</v>
      </c>
      <c r="AJ25" s="58">
        <f t="shared" si="26"/>
        <v>0</v>
      </c>
      <c r="AK25" s="212">
        <f t="shared" si="27"/>
        <v>0</v>
      </c>
      <c r="AL25" s="212">
        <f t="shared" si="28"/>
        <v>0</v>
      </c>
      <c r="AM25" s="20"/>
      <c r="AO25" s="53">
        <f t="shared" si="30"/>
        <v>0</v>
      </c>
      <c r="AP25" s="58">
        <f t="shared" si="31"/>
        <v>10000</v>
      </c>
      <c r="AQ25" s="58">
        <f t="shared" si="32"/>
        <v>0</v>
      </c>
      <c r="AR25" s="212">
        <f t="shared" si="33"/>
        <v>0</v>
      </c>
      <c r="AS25" s="212">
        <f t="shared" si="34"/>
        <v>0</v>
      </c>
      <c r="AT25" s="20"/>
      <c r="AV25" s="53">
        <f t="shared" si="36"/>
        <v>0</v>
      </c>
      <c r="AW25" s="58">
        <f t="shared" si="37"/>
        <v>10000</v>
      </c>
      <c r="AX25" s="58">
        <f t="shared" si="38"/>
        <v>0</v>
      </c>
      <c r="AY25" s="212">
        <f t="shared" si="39"/>
        <v>0</v>
      </c>
      <c r="AZ25" s="212">
        <f t="shared" si="40"/>
        <v>0</v>
      </c>
      <c r="BA25" s="20"/>
      <c r="BC25" s="53">
        <f t="shared" si="42"/>
        <v>0</v>
      </c>
      <c r="BD25" s="58">
        <f t="shared" si="43"/>
        <v>10000</v>
      </c>
      <c r="BE25" s="58">
        <f t="shared" si="44"/>
        <v>0</v>
      </c>
      <c r="BF25" s="53">
        <f t="shared" si="45"/>
        <v>0</v>
      </c>
      <c r="BG25" s="53">
        <f t="shared" si="46"/>
        <v>0</v>
      </c>
      <c r="BH25" s="20"/>
    </row>
    <row r="26" spans="1:60" ht="18.75" customHeight="1">
      <c r="B26" s="86">
        <f>W13*1000</f>
        <v>1000</v>
      </c>
      <c r="O26" s="10">
        <v>-150</v>
      </c>
      <c r="P26" s="201"/>
      <c r="Q26" s="201"/>
      <c r="AF26" s="10" t="s">
        <v>386</v>
      </c>
    </row>
    <row r="27" spans="1:60" ht="18.75" customHeight="1">
      <c r="B27" s="86">
        <f>X13*1000</f>
        <v>1000000</v>
      </c>
      <c r="O27" s="10">
        <v>-150</v>
      </c>
      <c r="AA27" s="211">
        <f>SUM(AA14:AA24)</f>
        <v>0.10565691243586142</v>
      </c>
      <c r="AF27" s="211">
        <f>SUM(AF14:AF24)</f>
        <v>5640013929.4238148</v>
      </c>
      <c r="AM27" s="211">
        <f>SUM(AM14:AM24)</f>
        <v>0</v>
      </c>
      <c r="AT27" s="211">
        <f>SUM(AT14:AT24)</f>
        <v>0</v>
      </c>
      <c r="BA27" s="211">
        <f>SUM(BA14:BA24)</f>
        <v>0</v>
      </c>
      <c r="BH27" s="211">
        <f>SUM(BH14:BH24)</f>
        <v>0</v>
      </c>
    </row>
    <row r="28" spans="1:60" ht="18.75" customHeight="1">
      <c r="G28" s="86">
        <f>'Top Level'!J61</f>
        <v>-100</v>
      </c>
      <c r="AA28" s="86">
        <f>10*LOG10(AA27)</f>
        <v>-9.7610208465475949</v>
      </c>
      <c r="AB28" s="10" t="s">
        <v>387</v>
      </c>
      <c r="AF28" s="86">
        <f>SQRT(AF27)/1000</f>
        <v>75.100026161272496</v>
      </c>
      <c r="AM28" s="86" t="e">
        <f>10*LOG10(AM27)</f>
        <v>#NUM!</v>
      </c>
      <c r="AT28" s="86" t="e">
        <f>10*LOG10(AT27)</f>
        <v>#NUM!</v>
      </c>
      <c r="BA28" s="86" t="e">
        <f>10*LOG10(BA27)</f>
        <v>#NUM!</v>
      </c>
      <c r="BH28" s="86" t="e">
        <f>10*LOG10(BH27)</f>
        <v>#NUM!</v>
      </c>
    </row>
    <row r="29" spans="1:60" ht="18.75" customHeight="1">
      <c r="F29" s="10" t="s">
        <v>170</v>
      </c>
      <c r="G29" s="10" t="s">
        <v>388</v>
      </c>
      <c r="AA29" s="215">
        <f>180/PI()*(1*AA27)^0.5</f>
        <v>18.623941126063535</v>
      </c>
      <c r="AB29" s="10" t="s">
        <v>389</v>
      </c>
      <c r="AC29" s="86">
        <f>1*AA27^0.5</f>
        <v>0.32504909234738899</v>
      </c>
    </row>
    <row r="30" spans="1:60" ht="18.75" customHeight="1">
      <c r="F30" s="86">
        <f t="shared" ref="F30:F42" si="50">B14</f>
        <v>100</v>
      </c>
      <c r="G30" s="86">
        <f t="shared" ref="G30:G41" si="51">P14+20*LOG10($E$8/$C$8)+G$28</f>
        <v>-60.334181102533208</v>
      </c>
      <c r="AA30" s="86">
        <f>AA29/360*(1000000/'Top Level'!O12)</f>
        <v>32.846457012457734</v>
      </c>
      <c r="AB30" s="10" t="s">
        <v>30</v>
      </c>
    </row>
    <row r="31" spans="1:60" ht="18.75" customHeight="1">
      <c r="A31" s="216"/>
      <c r="B31" s="216"/>
      <c r="C31" s="216"/>
      <c r="D31" s="216"/>
      <c r="E31" s="216"/>
      <c r="F31" s="217">
        <f t="shared" si="50"/>
        <v>1000</v>
      </c>
      <c r="G31" s="217">
        <f t="shared" si="51"/>
        <v>-60.322342040964287</v>
      </c>
      <c r="H31" s="216"/>
      <c r="I31" s="216"/>
      <c r="J31" s="216"/>
      <c r="K31" s="216"/>
      <c r="L31" s="216"/>
      <c r="M31" s="216"/>
      <c r="O31" s="216"/>
      <c r="P31" s="216"/>
      <c r="Q31" s="216"/>
      <c r="R31" s="216"/>
      <c r="S31" s="218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</row>
    <row r="32" spans="1:60" ht="18.75" customHeight="1">
      <c r="A32" s="10" t="s">
        <v>375</v>
      </c>
      <c r="F32" s="86">
        <f t="shared" si="50"/>
        <v>4000</v>
      </c>
      <c r="G32" s="86">
        <f t="shared" si="51"/>
        <v>-60.153748297153726</v>
      </c>
      <c r="N32" s="10" t="s">
        <v>382</v>
      </c>
      <c r="S32" s="10" t="s">
        <v>384</v>
      </c>
      <c r="T32" s="10" t="s">
        <v>385</v>
      </c>
      <c r="U32" s="10" t="s">
        <v>294</v>
      </c>
      <c r="W32" s="219">
        <v>51</v>
      </c>
      <c r="X32" s="6">
        <v>55</v>
      </c>
    </row>
    <row r="33" spans="1:27" ht="18.75" customHeight="1">
      <c r="A33" s="58">
        <f>A$14</f>
        <v>0.1</v>
      </c>
      <c r="B33" s="201"/>
      <c r="C33" s="201"/>
      <c r="D33" s="201"/>
      <c r="F33" s="86">
        <f t="shared" si="50"/>
        <v>10000</v>
      </c>
      <c r="G33" s="86">
        <f t="shared" si="51"/>
        <v>-59.484994005662053</v>
      </c>
      <c r="N33" s="201">
        <f>N$14</f>
        <v>-68.318906699037598</v>
      </c>
      <c r="S33" s="210">
        <f>S$14</f>
        <v>0.1</v>
      </c>
      <c r="T33" s="211">
        <f t="shared" ref="T33:T43" si="52">(10^(N33/20)/((A33*1000)^(U33)))^2</f>
        <v>2.0361918721639543E-7</v>
      </c>
      <c r="U33" s="86">
        <f t="shared" ref="U33:U39" si="53">(N34-N33)/(20*LOG10(A34/A33))</f>
        <v>-3.5177342362629815E-2</v>
      </c>
      <c r="V33" s="53">
        <f>IF(AND(S33&lt;=X32,S34&gt;W32),1,0)</f>
        <v>0</v>
      </c>
      <c r="W33" s="58">
        <f t="shared" ref="W33:W39" si="54">IF(AND(W$13&gt;=S33,W$13&lt;=S34),W$13,A33)</f>
        <v>1</v>
      </c>
      <c r="X33" s="58">
        <f t="shared" ref="X33:X39" si="55">IF(AND(X$13&gt;=S33,X$13&lt;=S34),X$13,A34)</f>
        <v>1</v>
      </c>
      <c r="Y33" s="53">
        <f t="shared" ref="Y33:Y43" si="56">(T33/(2*U33+1))*(W33*1000)^(2*U33+1)</f>
        <v>1.3472163978146413E-4</v>
      </c>
      <c r="Z33" s="53">
        <f t="shared" ref="Z33:Z43" si="57">(T33/(2*U33+1))*(X33*1000)^(2*U33+1)</f>
        <v>1.3472163978146413E-4</v>
      </c>
      <c r="AA33" s="212">
        <f t="shared" ref="AA33:AA43" si="58">2*(Z33-Y33)*V33</f>
        <v>0</v>
      </c>
    </row>
    <row r="34" spans="1:27" ht="18.75" customHeight="1">
      <c r="A34" s="58">
        <f>A$15</f>
        <v>1</v>
      </c>
      <c r="B34" s="201"/>
      <c r="C34" s="201"/>
      <c r="D34" s="201"/>
      <c r="F34" s="86">
        <f t="shared" si="50"/>
        <v>20000</v>
      </c>
      <c r="G34" s="86">
        <f t="shared" si="51"/>
        <v>-58.695309994017634</v>
      </c>
      <c r="N34" s="201">
        <f>N$15</f>
        <v>-69.022453546290194</v>
      </c>
      <c r="S34" s="210">
        <f>S$15</f>
        <v>1</v>
      </c>
      <c r="T34" s="211">
        <f t="shared" si="52"/>
        <v>1.1006558704848082E-7</v>
      </c>
      <c r="U34" s="86">
        <f t="shared" si="53"/>
        <v>9.3505151796233407E-3</v>
      </c>
      <c r="V34" s="53">
        <f>IF(AND(S34&lt;=X32,S35&gt;W32),1,0)</f>
        <v>0</v>
      </c>
      <c r="W34" s="58">
        <f t="shared" si="54"/>
        <v>1</v>
      </c>
      <c r="X34" s="58">
        <f t="shared" si="55"/>
        <v>4</v>
      </c>
      <c r="Y34" s="53">
        <f t="shared" si="56"/>
        <v>1.2294415884197345E-4</v>
      </c>
      <c r="Z34" s="53">
        <f t="shared" si="57"/>
        <v>5.0469271210359771E-4</v>
      </c>
      <c r="AA34" s="212">
        <f t="shared" si="58"/>
        <v>0</v>
      </c>
    </row>
    <row r="35" spans="1:27" ht="18.75" customHeight="1">
      <c r="A35" s="58">
        <f>A$16</f>
        <v>4</v>
      </c>
      <c r="B35" s="201"/>
      <c r="C35" s="201"/>
      <c r="D35" s="201"/>
      <c r="F35" s="86">
        <f t="shared" si="50"/>
        <v>40000</v>
      </c>
      <c r="G35" s="86">
        <f t="shared" si="51"/>
        <v>-59.428073969851177</v>
      </c>
      <c r="N35" s="201">
        <f>N$16</f>
        <v>-68.909862124531074</v>
      </c>
      <c r="S35" s="210">
        <f>S$16</f>
        <v>4</v>
      </c>
      <c r="T35" s="211">
        <f t="shared" si="52"/>
        <v>3.1688400280343084E-8</v>
      </c>
      <c r="U35" s="86">
        <f t="shared" si="53"/>
        <v>8.4411902310809292E-2</v>
      </c>
      <c r="V35" s="53">
        <f>IF(AND(S35&lt;=X32,S36&gt;W32),1,0)</f>
        <v>0</v>
      </c>
      <c r="W35" s="58">
        <f t="shared" si="54"/>
        <v>4</v>
      </c>
      <c r="X35" s="58">
        <f t="shared" si="55"/>
        <v>10</v>
      </c>
      <c r="Y35" s="53">
        <f t="shared" si="56"/>
        <v>4.398703926133473E-4</v>
      </c>
      <c r="Z35" s="53">
        <f t="shared" si="57"/>
        <v>1.2836495882368713E-3</v>
      </c>
      <c r="AA35" s="212">
        <f t="shared" si="58"/>
        <v>0</v>
      </c>
    </row>
    <row r="36" spans="1:27" ht="18.75" customHeight="1">
      <c r="A36" s="58">
        <f>A$17</f>
        <v>10</v>
      </c>
      <c r="B36" s="201"/>
      <c r="C36" s="201"/>
      <c r="D36" s="201"/>
      <c r="F36" s="86">
        <f t="shared" si="50"/>
        <v>80000</v>
      </c>
      <c r="G36" s="86">
        <f t="shared" si="51"/>
        <v>-63.379247798163696</v>
      </c>
      <c r="N36" s="201">
        <f>N$17</f>
        <v>-68.238044661779341</v>
      </c>
      <c r="S36" s="210">
        <f>S$17</f>
        <v>10</v>
      </c>
      <c r="T36" s="211">
        <f t="shared" si="52"/>
        <v>1.1293882381905064E-8</v>
      </c>
      <c r="U36" s="86">
        <f t="shared" si="53"/>
        <v>0.14041903415987106</v>
      </c>
      <c r="V36" s="53">
        <f>IF(AND(S36&lt;=X32,S37&gt;W32),1,0)</f>
        <v>0</v>
      </c>
      <c r="W36" s="58">
        <f t="shared" si="54"/>
        <v>10</v>
      </c>
      <c r="X36" s="58">
        <f t="shared" si="55"/>
        <v>20</v>
      </c>
      <c r="Y36" s="53">
        <f t="shared" si="56"/>
        <v>1.1713894462023816E-3</v>
      </c>
      <c r="Z36" s="53">
        <f t="shared" si="57"/>
        <v>2.846243062238915E-3</v>
      </c>
      <c r="AA36" s="212">
        <f t="shared" si="58"/>
        <v>0</v>
      </c>
    </row>
    <row r="37" spans="1:27" ht="18.75" customHeight="1">
      <c r="A37" s="58">
        <f>A$18</f>
        <v>20</v>
      </c>
      <c r="B37" s="201"/>
      <c r="C37" s="201"/>
      <c r="D37" s="201"/>
      <c r="F37" s="86">
        <f t="shared" si="50"/>
        <v>100000</v>
      </c>
      <c r="G37" s="86">
        <f t="shared" si="51"/>
        <v>-65.359541997681617</v>
      </c>
      <c r="N37" s="201">
        <f>N$18</f>
        <v>-67.392637836893613</v>
      </c>
      <c r="S37" s="210">
        <f>S$18</f>
        <v>20</v>
      </c>
      <c r="T37" s="211">
        <f t="shared" si="52"/>
        <v>5.7424660214555277E-7</v>
      </c>
      <c r="U37" s="86">
        <f t="shared" si="53"/>
        <v>-5.7935217647608186E-2</v>
      </c>
      <c r="V37" s="53">
        <f>IF(AND(S37&lt;=X32,S38&gt;W32),1,0)</f>
        <v>0</v>
      </c>
      <c r="W37" s="58">
        <f t="shared" si="54"/>
        <v>20</v>
      </c>
      <c r="X37" s="58">
        <f t="shared" si="55"/>
        <v>40</v>
      </c>
      <c r="Y37" s="53">
        <f t="shared" si="56"/>
        <v>4.1233509333259812E-3</v>
      </c>
      <c r="Z37" s="53">
        <f t="shared" si="57"/>
        <v>7.6102656641656267E-3</v>
      </c>
      <c r="AA37" s="212">
        <f t="shared" si="58"/>
        <v>0</v>
      </c>
    </row>
    <row r="38" spans="1:27" ht="18.75" customHeight="1">
      <c r="A38" s="58">
        <f>A$19</f>
        <v>40</v>
      </c>
      <c r="B38" s="201"/>
      <c r="C38" s="201"/>
      <c r="D38" s="201"/>
      <c r="F38" s="86">
        <f t="shared" si="50"/>
        <v>200000</v>
      </c>
      <c r="G38" s="86">
        <f t="shared" si="51"/>
        <v>-73.48691974167906</v>
      </c>
      <c r="N38" s="201">
        <f>N$19</f>
        <v>-67.741442603238639</v>
      </c>
      <c r="S38" s="210">
        <f>S$19</f>
        <v>40</v>
      </c>
      <c r="T38" s="211">
        <f t="shared" si="52"/>
        <v>8.3145026171833486E-7</v>
      </c>
      <c r="U38" s="86">
        <f t="shared" si="53"/>
        <v>-7.5398901359831835E-2</v>
      </c>
      <c r="V38" s="53">
        <f>IF(AND(S38&lt;=X32,S39&gt;W32),1,0)</f>
        <v>1</v>
      </c>
      <c r="W38" s="58">
        <f t="shared" si="54"/>
        <v>40</v>
      </c>
      <c r="X38" s="58">
        <f t="shared" si="55"/>
        <v>80</v>
      </c>
      <c r="Y38" s="53">
        <f t="shared" si="56"/>
        <v>7.9232730326124542E-3</v>
      </c>
      <c r="Z38" s="53">
        <f t="shared" si="57"/>
        <v>1.4273811447015741E-2</v>
      </c>
      <c r="AA38" s="212">
        <f t="shared" si="58"/>
        <v>1.2701076828806574E-2</v>
      </c>
    </row>
    <row r="39" spans="1:27" ht="18.75" customHeight="1">
      <c r="A39" s="58">
        <f>A$20</f>
        <v>80</v>
      </c>
      <c r="B39" s="201"/>
      <c r="C39" s="201"/>
      <c r="D39" s="201"/>
      <c r="F39" s="86">
        <f t="shared" si="50"/>
        <v>400000</v>
      </c>
      <c r="G39" s="86">
        <f t="shared" si="51"/>
        <v>-83.940551147319752</v>
      </c>
      <c r="N39" s="201">
        <f>N$20</f>
        <v>-68.195389222227021</v>
      </c>
      <c r="S39" s="210">
        <f>S$20</f>
        <v>80</v>
      </c>
      <c r="T39" s="211">
        <f t="shared" si="52"/>
        <v>1.1697058953369668E-10</v>
      </c>
      <c r="U39" s="86">
        <f t="shared" si="53"/>
        <v>0.31739009555913233</v>
      </c>
      <c r="V39" s="53">
        <f>IF(AND(S39&lt;=X32,S40&gt;W32),1,0)</f>
        <v>0</v>
      </c>
      <c r="W39" s="58">
        <f t="shared" si="54"/>
        <v>80</v>
      </c>
      <c r="X39" s="58">
        <f t="shared" si="55"/>
        <v>100</v>
      </c>
      <c r="Y39" s="53">
        <f t="shared" si="56"/>
        <v>7.4146678007392525E-3</v>
      </c>
      <c r="Z39" s="53">
        <f t="shared" si="57"/>
        <v>1.0678697093200368E-2</v>
      </c>
      <c r="AA39" s="212">
        <f t="shared" si="58"/>
        <v>0</v>
      </c>
    </row>
    <row r="40" spans="1:27" ht="18.75" customHeight="1">
      <c r="A40" s="58">
        <f>A$21</f>
        <v>100</v>
      </c>
      <c r="B40" s="201"/>
      <c r="C40" s="201"/>
      <c r="D40" s="201"/>
      <c r="F40" s="86">
        <f t="shared" si="50"/>
        <v>1000000</v>
      </c>
      <c r="G40" s="86">
        <f t="shared" si="51"/>
        <v>-99.415289060026694</v>
      </c>
      <c r="N40" s="201">
        <f>N$21</f>
        <v>-67.580223656441746</v>
      </c>
      <c r="S40" s="210">
        <f>S$21</f>
        <v>100</v>
      </c>
      <c r="T40" s="211">
        <f t="shared" si="52"/>
        <v>1.5455335586523173E-7</v>
      </c>
      <c r="U40" s="86">
        <f t="shared" ref="U40:U41" si="59">(N42-N40)/(20*LOG10(A42/A40))</f>
        <v>5.2899194882549778E-3</v>
      </c>
      <c r="V40" s="53">
        <f t="shared" ref="V40:V41" si="60">IF(AND(S40&lt;=X$13,S42&gt;W$13),1,0)</f>
        <v>1</v>
      </c>
      <c r="W40" s="58">
        <f t="shared" ref="W40:W41" si="61">IF(AND(W$13&gt;=S40,W$13&lt;=S42),W$13,A40)</f>
        <v>100</v>
      </c>
      <c r="X40" s="58">
        <f t="shared" ref="X40:X41" si="62">IF(AND(X$13&gt;=S40,X$13&lt;=S42),X$13,A42)</f>
        <v>400</v>
      </c>
      <c r="Y40" s="53">
        <f t="shared" si="56"/>
        <v>1.7274560407415689E-2</v>
      </c>
      <c r="Z40" s="53">
        <f t="shared" si="57"/>
        <v>7.0119158197819081E-2</v>
      </c>
      <c r="AA40" s="212">
        <f t="shared" si="58"/>
        <v>0.10568919558080678</v>
      </c>
    </row>
    <row r="41" spans="1:27" ht="18.75" customHeight="1">
      <c r="A41" s="58">
        <f>A$22</f>
        <v>200</v>
      </c>
      <c r="B41" s="201"/>
      <c r="C41" s="201"/>
      <c r="D41" s="201"/>
      <c r="F41" s="86">
        <f t="shared" si="50"/>
        <v>10000000</v>
      </c>
      <c r="G41" s="86">
        <f t="shared" si="51"/>
        <v>-145.22428823546028</v>
      </c>
      <c r="N41" s="201">
        <f>N$22</f>
        <v>-65.516092187623343</v>
      </c>
      <c r="S41" s="210">
        <f>S$22</f>
        <v>200</v>
      </c>
      <c r="T41" s="211">
        <f t="shared" si="52"/>
        <v>2.4762408919525454E+24</v>
      </c>
      <c r="U41" s="86">
        <f t="shared" si="59"/>
        <v>-2.9188103194296939</v>
      </c>
      <c r="V41" s="53">
        <f t="shared" si="60"/>
        <v>1</v>
      </c>
      <c r="W41" s="58">
        <f t="shared" si="61"/>
        <v>200</v>
      </c>
      <c r="X41" s="58">
        <f t="shared" si="62"/>
        <v>1000</v>
      </c>
      <c r="Y41" s="53">
        <f t="shared" si="56"/>
        <v>-1.1608843820546735E-2</v>
      </c>
      <c r="Z41" s="53">
        <f t="shared" si="57"/>
        <v>-4.8243326907232987E-6</v>
      </c>
      <c r="AA41" s="212">
        <f t="shared" si="58"/>
        <v>2.3208038975712025E-2</v>
      </c>
    </row>
    <row r="42" spans="1:27" ht="18.75" customHeight="1">
      <c r="A42" s="58">
        <f>A$23</f>
        <v>400</v>
      </c>
      <c r="B42" s="201"/>
      <c r="C42" s="201"/>
      <c r="D42" s="201"/>
      <c r="F42" s="86">
        <f t="shared" si="50"/>
        <v>1000</v>
      </c>
      <c r="N42" s="201">
        <f>N$23</f>
        <v>-67.516526678817257</v>
      </c>
      <c r="S42" s="210">
        <f>S$23</f>
        <v>400</v>
      </c>
      <c r="T42" s="211">
        <f t="shared" si="52"/>
        <v>7.4738624927215937E+47</v>
      </c>
      <c r="U42" s="86">
        <f t="shared" ref="U42:U44" si="63">(N43-N42)/(20*LOG10(A43/A42))</f>
        <v>-4.8754563371059794</v>
      </c>
      <c r="V42" s="53">
        <f t="shared" ref="V42:V44" si="64">IF(AND(S42&lt;=X$13,S43&gt;W$13),1,0)</f>
        <v>1</v>
      </c>
      <c r="W42" s="58">
        <f t="shared" ref="W42:W44" si="65">IF(AND(W$13&gt;=S42,W$13&lt;=S43),W$13,A42)</f>
        <v>400</v>
      </c>
      <c r="X42" s="58">
        <f t="shared" ref="X42:X44" si="66">IF(AND(X$13&gt;=S42,X$13&lt;=S43),X$13,A43)</f>
        <v>1000</v>
      </c>
      <c r="Y42" s="53">
        <f t="shared" si="56"/>
        <v>-8.0975562479946132E-3</v>
      </c>
      <c r="Z42" s="53">
        <f t="shared" si="57"/>
        <v>-2.6669551236801043E-6</v>
      </c>
      <c r="AA42" s="212">
        <f t="shared" si="58"/>
        <v>1.6189778585741867E-2</v>
      </c>
    </row>
    <row r="43" spans="1:27" ht="18.75" customHeight="1">
      <c r="A43" s="58">
        <f>A$24</f>
        <v>1000</v>
      </c>
      <c r="B43" s="201"/>
      <c r="C43" s="201"/>
      <c r="D43" s="201"/>
      <c r="N43" s="201">
        <f>N$24</f>
        <v>-106.31930942017914</v>
      </c>
      <c r="S43" s="210">
        <f>S$24</f>
        <v>1000</v>
      </c>
      <c r="T43" s="211">
        <f t="shared" si="52"/>
        <v>3.7668767213473886E-6</v>
      </c>
      <c r="U43" s="86">
        <f t="shared" si="63"/>
        <v>-0.43399269577410282</v>
      </c>
      <c r="V43" s="53">
        <f t="shared" si="64"/>
        <v>1</v>
      </c>
      <c r="W43" s="58">
        <f t="shared" si="65"/>
        <v>1000</v>
      </c>
      <c r="X43" s="58">
        <f t="shared" si="66"/>
        <v>1000</v>
      </c>
      <c r="Y43" s="53">
        <f t="shared" si="56"/>
        <v>1.7678567294231572E-4</v>
      </c>
      <c r="Z43" s="53">
        <f t="shared" si="57"/>
        <v>1.7678567294231572E-4</v>
      </c>
      <c r="AA43" s="212">
        <f t="shared" si="58"/>
        <v>0</v>
      </c>
    </row>
    <row r="44" spans="1:27" ht="18.75" customHeight="1">
      <c r="A44" s="58">
        <f>A$25</f>
        <v>10000</v>
      </c>
      <c r="B44" s="201"/>
      <c r="C44" s="201"/>
      <c r="D44" s="201"/>
      <c r="N44" s="201">
        <f>N$25</f>
        <v>-114.99916333566119</v>
      </c>
      <c r="S44" s="210">
        <f>S$25</f>
        <v>10000</v>
      </c>
      <c r="T44" s="211" t="e">
        <f>(10^(N44/20)/((A44*1000)^((N45-N44)/20*LOG10(A45/A44))))^2</f>
        <v>#NUM!</v>
      </c>
      <c r="U44" s="86" t="e">
        <f t="shared" si="63"/>
        <v>#NUM!</v>
      </c>
      <c r="V44" s="53">
        <f t="shared" si="64"/>
        <v>0</v>
      </c>
      <c r="W44" s="58">
        <f t="shared" si="65"/>
        <v>10000</v>
      </c>
      <c r="X44" s="58">
        <f t="shared" si="66"/>
        <v>0</v>
      </c>
      <c r="Y44" s="20"/>
      <c r="Z44" s="20"/>
      <c r="AA44" s="20"/>
    </row>
    <row r="45" spans="1:27" ht="18.75" customHeight="1">
      <c r="B45" s="201"/>
      <c r="C45" s="201"/>
      <c r="D45" s="201"/>
    </row>
    <row r="46" spans="1:27" ht="18.75" customHeight="1">
      <c r="B46" s="201"/>
      <c r="C46" s="201"/>
      <c r="D46" s="201"/>
    </row>
    <row r="47" spans="1:27" ht="18.75" customHeight="1">
      <c r="B47" s="201"/>
      <c r="C47" s="201"/>
      <c r="D47" s="201"/>
      <c r="N47" s="10" t="s">
        <v>382</v>
      </c>
    </row>
    <row r="48" spans="1:27" ht="18.75" customHeight="1">
      <c r="B48" s="201"/>
      <c r="C48" s="201"/>
      <c r="D48" s="201"/>
      <c r="N48" s="201">
        <f>N$14</f>
        <v>-68.318906699037598</v>
      </c>
    </row>
    <row r="49" spans="1:14" ht="18.75" customHeight="1">
      <c r="B49" s="201"/>
      <c r="C49" s="201"/>
      <c r="D49" s="201"/>
      <c r="N49" s="201">
        <f>N$15</f>
        <v>-69.022453546290194</v>
      </c>
    </row>
    <row r="50" spans="1:14" ht="18.75" customHeight="1">
      <c r="B50" s="201"/>
      <c r="C50" s="201"/>
      <c r="D50" s="201"/>
      <c r="N50" s="201">
        <f>N$16</f>
        <v>-68.909862124531074</v>
      </c>
    </row>
    <row r="51" spans="1:14" ht="18.75" customHeight="1">
      <c r="B51" s="201"/>
      <c r="C51" s="201"/>
      <c r="D51" s="201"/>
      <c r="N51" s="201">
        <f>N$17</f>
        <v>-68.238044661779341</v>
      </c>
    </row>
    <row r="52" spans="1:14" ht="18.75" customHeight="1">
      <c r="B52" s="201"/>
      <c r="C52" s="201"/>
      <c r="D52" s="201"/>
      <c r="N52" s="201">
        <f>N$18</f>
        <v>-67.392637836893613</v>
      </c>
    </row>
    <row r="53" spans="1:14" ht="18.75" customHeight="1">
      <c r="B53" s="201"/>
      <c r="C53" s="201"/>
      <c r="D53" s="201"/>
      <c r="N53" s="201">
        <f>N$19</f>
        <v>-67.741442603238639</v>
      </c>
    </row>
    <row r="54" spans="1:14" ht="18.75" customHeight="1">
      <c r="B54" s="201"/>
      <c r="C54" s="201"/>
      <c r="D54" s="201"/>
      <c r="N54" s="201">
        <f>N$20</f>
        <v>-68.195389222227021</v>
      </c>
    </row>
    <row r="55" spans="1:14" ht="18.75" customHeight="1">
      <c r="B55" s="201"/>
      <c r="C55" s="201"/>
      <c r="D55" s="201"/>
      <c r="N55" s="201">
        <f>N$21</f>
        <v>-67.580223656441746</v>
      </c>
    </row>
    <row r="56" spans="1:14" ht="18.75" customHeight="1">
      <c r="B56" s="201"/>
      <c r="C56" s="201"/>
      <c r="D56" s="201"/>
      <c r="N56" s="201">
        <f>N$22</f>
        <v>-65.516092187623343</v>
      </c>
    </row>
    <row r="57" spans="1:14" ht="18.75" customHeight="1">
      <c r="B57" s="201"/>
      <c r="C57" s="201"/>
      <c r="D57" s="201"/>
      <c r="N57" s="201">
        <f>N$23</f>
        <v>-67.516526678817257</v>
      </c>
    </row>
    <row r="58" spans="1:14" ht="18.75" customHeight="1">
      <c r="B58" s="201"/>
      <c r="C58" s="201"/>
      <c r="D58" s="201"/>
      <c r="N58" s="201">
        <f>N$24</f>
        <v>-106.31930942017914</v>
      </c>
    </row>
    <row r="59" spans="1:14" ht="18.75" customHeight="1">
      <c r="B59" s="201"/>
      <c r="C59" s="201"/>
      <c r="D59" s="201"/>
      <c r="N59" s="201">
        <f>N$25</f>
        <v>-114.99916333566119</v>
      </c>
    </row>
    <row r="60" spans="1:14" ht="18.75" customHeight="1">
      <c r="A60" s="473" t="s">
        <v>390</v>
      </c>
      <c r="B60" s="461"/>
      <c r="C60" s="461"/>
      <c r="D60" s="461"/>
      <c r="E60" s="461"/>
      <c r="F60" s="461"/>
      <c r="N60" s="201"/>
    </row>
    <row r="61" spans="1:14" ht="18.75" customHeight="1">
      <c r="A61" s="11"/>
      <c r="B61" s="220"/>
      <c r="C61" s="220"/>
      <c r="D61" s="220"/>
      <c r="N61" s="201"/>
    </row>
    <row r="62" spans="1:14" ht="18.75" customHeight="1">
      <c r="A62" s="221" t="s">
        <v>391</v>
      </c>
      <c r="B62" s="221" t="s">
        <v>392</v>
      </c>
      <c r="C62" s="222" t="s">
        <v>393</v>
      </c>
      <c r="D62" s="222" t="s">
        <v>394</v>
      </c>
      <c r="E62" s="7"/>
      <c r="N62" s="201"/>
    </row>
    <row r="63" spans="1:14" ht="18.75" customHeight="1">
      <c r="A63" s="223">
        <f t="shared" ref="A63:A76" si="67">A14</f>
        <v>0.1</v>
      </c>
      <c r="B63" s="223">
        <f t="shared" ref="B63:B74" si="68">N14</f>
        <v>-68.318906699037598</v>
      </c>
      <c r="C63" s="221">
        <v>0.5</v>
      </c>
      <c r="D63" s="223">
        <f t="shared" ref="D63:D74" si="69">IF(AND(C63&gt;=A63,C63&lt;=A64),B63+20*LOG10(C63/A63)*((B64-B63)/(20*LOG10(A64/A63))),-300)</f>
        <v>-68.810664841912342</v>
      </c>
      <c r="E63" s="7"/>
      <c r="N63" s="201"/>
    </row>
    <row r="64" spans="1:14" ht="18.75" customHeight="1">
      <c r="A64" s="224">
        <f t="shared" si="67"/>
        <v>1</v>
      </c>
      <c r="B64" s="224">
        <f t="shared" si="68"/>
        <v>-69.022453546290194</v>
      </c>
      <c r="C64" s="224">
        <f>'Top Level'!AA14</f>
        <v>5</v>
      </c>
      <c r="D64" s="224">
        <f t="shared" si="69"/>
        <v>-300</v>
      </c>
      <c r="E64" s="225">
        <f>MAX(D64:D65)</f>
        <v>-68.746254953511567</v>
      </c>
      <c r="N64" s="201"/>
    </row>
    <row r="65" spans="1:14" ht="18.75" customHeight="1">
      <c r="A65" s="224">
        <f t="shared" si="67"/>
        <v>4</v>
      </c>
      <c r="B65" s="224">
        <f t="shared" si="68"/>
        <v>-68.909862124531074</v>
      </c>
      <c r="C65" s="224">
        <f>'Top Level'!AA14</f>
        <v>5</v>
      </c>
      <c r="D65" s="224">
        <f t="shared" si="69"/>
        <v>-68.746254953511567</v>
      </c>
      <c r="E65" s="7"/>
      <c r="N65" s="201"/>
    </row>
    <row r="66" spans="1:14" ht="18.75" customHeight="1">
      <c r="A66" s="223">
        <f t="shared" si="67"/>
        <v>10</v>
      </c>
      <c r="B66" s="223">
        <f t="shared" si="68"/>
        <v>-68.238044661779341</v>
      </c>
      <c r="C66" s="223">
        <f>'Top Level'!AA16</f>
        <v>50</v>
      </c>
      <c r="D66" s="223">
        <f t="shared" si="69"/>
        <v>-300</v>
      </c>
      <c r="E66" s="225">
        <f>MAX(D66:D69)</f>
        <v>-67.887580773470134</v>
      </c>
      <c r="N66" s="201"/>
    </row>
    <row r="67" spans="1:14" ht="18.75" customHeight="1">
      <c r="A67" s="223">
        <f t="shared" si="67"/>
        <v>20</v>
      </c>
      <c r="B67" s="223">
        <f t="shared" si="68"/>
        <v>-67.392637836893613</v>
      </c>
      <c r="C67" s="223">
        <f>'Top Level'!AA16</f>
        <v>50</v>
      </c>
      <c r="D67" s="223">
        <f t="shared" si="69"/>
        <v>-300</v>
      </c>
      <c r="E67" s="7"/>
      <c r="N67" s="201"/>
    </row>
    <row r="68" spans="1:14" ht="18.75" customHeight="1">
      <c r="A68" s="223">
        <f t="shared" si="67"/>
        <v>40</v>
      </c>
      <c r="B68" s="223">
        <f t="shared" si="68"/>
        <v>-67.741442603238639</v>
      </c>
      <c r="C68" s="223">
        <f>'Top Level'!AA16</f>
        <v>50</v>
      </c>
      <c r="D68" s="223">
        <f t="shared" si="69"/>
        <v>-67.887580773470134</v>
      </c>
      <c r="E68" s="7"/>
      <c r="N68" s="201"/>
    </row>
    <row r="69" spans="1:14" ht="18.75" customHeight="1">
      <c r="A69" s="223">
        <f t="shared" si="67"/>
        <v>80</v>
      </c>
      <c r="B69" s="223">
        <f t="shared" si="68"/>
        <v>-68.195389222227021</v>
      </c>
      <c r="C69" s="223">
        <f>'Top Level'!AA16</f>
        <v>50</v>
      </c>
      <c r="D69" s="223">
        <f t="shared" si="69"/>
        <v>-300</v>
      </c>
      <c r="E69" s="7"/>
      <c r="N69" s="201"/>
    </row>
    <row r="70" spans="1:14" ht="18.75" customHeight="1">
      <c r="A70" s="226">
        <f t="shared" si="67"/>
        <v>100</v>
      </c>
      <c r="B70" s="226">
        <f t="shared" si="68"/>
        <v>-67.580223656441746</v>
      </c>
      <c r="C70" s="226">
        <f>'Top Level'!AA18</f>
        <v>800</v>
      </c>
      <c r="D70" s="226">
        <f t="shared" si="69"/>
        <v>-300</v>
      </c>
      <c r="E70" s="225">
        <f>MAX(D70:D72)</f>
        <v>-96.869698679196119</v>
      </c>
      <c r="N70" s="201"/>
    </row>
    <row r="71" spans="1:14" ht="18.75" customHeight="1">
      <c r="A71" s="226">
        <f t="shared" si="67"/>
        <v>200</v>
      </c>
      <c r="B71" s="226">
        <f t="shared" si="68"/>
        <v>-65.516092187623343</v>
      </c>
      <c r="C71" s="226">
        <f>'Top Level'!AA18</f>
        <v>800</v>
      </c>
      <c r="D71" s="226">
        <f t="shared" si="69"/>
        <v>-300</v>
      </c>
      <c r="E71" s="7"/>
      <c r="N71" s="201"/>
    </row>
    <row r="72" spans="1:14" ht="18.75" customHeight="1">
      <c r="A72" s="226">
        <f t="shared" si="67"/>
        <v>400</v>
      </c>
      <c r="B72" s="226">
        <f t="shared" si="68"/>
        <v>-67.516526678817257</v>
      </c>
      <c r="C72" s="226">
        <f>'Top Level'!AA18</f>
        <v>800</v>
      </c>
      <c r="D72" s="226">
        <f t="shared" si="69"/>
        <v>-96.869698679196119</v>
      </c>
      <c r="E72" s="7"/>
      <c r="N72" s="201"/>
    </row>
    <row r="73" spans="1:14" ht="18.75" customHeight="1">
      <c r="A73" s="223">
        <f t="shared" si="67"/>
        <v>1000</v>
      </c>
      <c r="B73" s="223">
        <f t="shared" si="68"/>
        <v>-106.31930942017914</v>
      </c>
      <c r="C73" s="223">
        <f>'Top Level'!AA20</f>
        <v>5000</v>
      </c>
      <c r="D73" s="223">
        <f t="shared" si="69"/>
        <v>-112.38626694911964</v>
      </c>
      <c r="E73" s="225">
        <f>MAX(D73:D74)</f>
        <v>-112.38626694911964</v>
      </c>
      <c r="N73" s="201"/>
    </row>
    <row r="74" spans="1:14" ht="18.75" customHeight="1">
      <c r="A74" s="223">
        <f t="shared" si="67"/>
        <v>10000</v>
      </c>
      <c r="B74" s="223">
        <f t="shared" si="68"/>
        <v>-114.99916333566119</v>
      </c>
      <c r="C74" s="223">
        <f>'Top Level'!AA20</f>
        <v>5000</v>
      </c>
      <c r="D74" s="223">
        <f t="shared" si="69"/>
        <v>-300</v>
      </c>
      <c r="E74" s="7"/>
      <c r="N74" s="201"/>
    </row>
    <row r="75" spans="1:14" ht="18.75" customHeight="1">
      <c r="A75" s="223">
        <f t="shared" si="67"/>
        <v>0</v>
      </c>
      <c r="B75" s="227"/>
      <c r="C75" s="228"/>
      <c r="D75" s="228"/>
      <c r="N75" s="201"/>
    </row>
    <row r="76" spans="1:14" ht="18.75" customHeight="1">
      <c r="A76" s="223">
        <f t="shared" si="67"/>
        <v>0</v>
      </c>
      <c r="B76" s="229"/>
      <c r="C76" s="230"/>
      <c r="D76" s="230"/>
      <c r="N76" s="201"/>
    </row>
    <row r="77" spans="1:14" ht="18.75" customHeight="1">
      <c r="A77" s="5"/>
      <c r="B77" s="201"/>
      <c r="C77" s="201"/>
      <c r="D77" s="201"/>
      <c r="N77" s="201"/>
    </row>
    <row r="78" spans="1:14" ht="18.75" customHeight="1">
      <c r="B78" s="201"/>
      <c r="C78" s="201"/>
      <c r="D78" s="201"/>
      <c r="N78" s="201"/>
    </row>
    <row r="79" spans="1:14" ht="18.75" customHeight="1">
      <c r="B79" s="201"/>
      <c r="C79" s="201"/>
      <c r="D79" s="201"/>
      <c r="N79" s="201"/>
    </row>
  </sheetData>
  <mergeCells count="1">
    <mergeCell ref="A60:F60"/>
  </mergeCells>
  <pageMargins left="0.7" right="0.7" top="0.75" bottom="0.75" header="0.3" footer="0.3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L72"/>
  <sheetViews>
    <sheetView workbookViewId="0"/>
  </sheetViews>
  <sheetFormatPr defaultColWidth="14.42578125" defaultRowHeight="12.75" customHeight="1"/>
  <cols>
    <col min="1" max="6" width="10.85546875" customWidth="1"/>
    <col min="7" max="7" width="17.7109375" customWidth="1"/>
    <col min="8" max="20" width="10.85546875" customWidth="1"/>
  </cols>
  <sheetData>
    <row r="2" spans="1:12" ht="12.75" customHeight="1">
      <c r="A2" s="460" t="s">
        <v>395</v>
      </c>
      <c r="B2" s="461"/>
      <c r="C2" s="461"/>
      <c r="D2" s="461"/>
      <c r="E2" s="461"/>
      <c r="F2" s="461"/>
      <c r="G2" s="461"/>
      <c r="H2" s="461"/>
      <c r="I2" s="461"/>
    </row>
    <row r="3" spans="1:12" ht="12.75" customHeight="1">
      <c r="A3" s="10" t="s">
        <v>396</v>
      </c>
      <c r="B3" s="10">
        <v>50</v>
      </c>
      <c r="C3" s="10" t="s">
        <v>269</v>
      </c>
      <c r="D3" s="10">
        <v>60</v>
      </c>
    </row>
    <row r="4" spans="1:12" ht="12.75" customHeight="1">
      <c r="B4" s="10" t="s">
        <v>397</v>
      </c>
      <c r="C4" s="10" t="s">
        <v>398</v>
      </c>
      <c r="D4" s="10" t="s">
        <v>399</v>
      </c>
      <c r="E4" s="10" t="s">
        <v>400</v>
      </c>
      <c r="F4" s="10" t="s">
        <v>401</v>
      </c>
      <c r="H4" s="10" t="s">
        <v>402</v>
      </c>
    </row>
    <row r="5" spans="1:12" ht="12.75" customHeight="1">
      <c r="A5" s="10" t="s">
        <v>403</v>
      </c>
      <c r="B5" s="10">
        <v>-110</v>
      </c>
      <c r="C5" s="201">
        <f t="shared" ref="C5:C10" si="0">IF(B5="","&lt;-need input",B5-10*LOG10($B$3*1000000)-20*LOG10($D$3))</f>
        <v>-222.55272505103306</v>
      </c>
      <c r="D5" s="10">
        <v>-97</v>
      </c>
      <c r="E5" s="209">
        <f>IF(D5="","&lt;-need input",D5-20*LOG10(3000/1000)+10*LOG10(1/PNoise!$C$11))</f>
        <v>-116.54242509439325</v>
      </c>
      <c r="H5" s="10" t="s">
        <v>404</v>
      </c>
      <c r="K5" s="231" t="s">
        <v>405</v>
      </c>
      <c r="L5" s="232"/>
    </row>
    <row r="6" spans="1:12" ht="12.75" customHeight="1">
      <c r="A6" s="10" t="s">
        <v>406</v>
      </c>
      <c r="B6" s="10">
        <v>-110</v>
      </c>
      <c r="C6" s="201">
        <f t="shared" si="0"/>
        <v>-222.55272505103306</v>
      </c>
      <c r="D6" s="10">
        <v>-97</v>
      </c>
      <c r="E6" s="209">
        <f>IF(D6="","&lt;-need input",D6-20*LOG10(3000/1000)+10*LOG10(1/PNoise!$C$11))</f>
        <v>-116.54242509439325</v>
      </c>
      <c r="H6" s="10" t="s">
        <v>404</v>
      </c>
      <c r="K6" s="231">
        <v>-274</v>
      </c>
      <c r="L6" s="232"/>
    </row>
    <row r="7" spans="1:12" ht="12.75" customHeight="1">
      <c r="A7" s="10" t="s">
        <v>407</v>
      </c>
      <c r="B7" s="10">
        <v>-109</v>
      </c>
      <c r="C7" s="201">
        <f t="shared" si="0"/>
        <v>-221.55272505103306</v>
      </c>
      <c r="D7" s="10">
        <v>-97</v>
      </c>
      <c r="E7" s="209">
        <f>IF(D7="","&lt;-need input",D7-20*LOG10(3000/1000)+10*LOG10(1/PNoise!$C$11))</f>
        <v>-116.54242509439325</v>
      </c>
      <c r="H7" s="10" t="s">
        <v>404</v>
      </c>
      <c r="K7" s="231" t="s">
        <v>408</v>
      </c>
      <c r="L7" s="231" t="s">
        <v>409</v>
      </c>
    </row>
    <row r="8" spans="1:12" ht="12.75" customHeight="1">
      <c r="A8" s="10" t="s">
        <v>410</v>
      </c>
      <c r="B8" s="10">
        <v>-107</v>
      </c>
      <c r="C8" s="201">
        <f t="shared" si="0"/>
        <v>-219.55272505103306</v>
      </c>
      <c r="D8" s="10">
        <v>-96.5</v>
      </c>
      <c r="E8" s="209">
        <f>IF(D8="","&lt;-need input",D8-20*LOG10(3000/1000)+10*LOG10(1/PNoise!$C$11))</f>
        <v>-116.04242509439325</v>
      </c>
      <c r="H8" s="10" t="s">
        <v>404</v>
      </c>
      <c r="K8" s="231" t="s">
        <v>411</v>
      </c>
      <c r="L8" s="232"/>
    </row>
    <row r="9" spans="1:12" ht="12.75" customHeight="1">
      <c r="A9" s="10" t="s">
        <v>412</v>
      </c>
      <c r="B9" s="10">
        <v>-104</v>
      </c>
      <c r="C9" s="201">
        <f t="shared" si="0"/>
        <v>-216.55272505103306</v>
      </c>
      <c r="D9" s="10">
        <v>-96.2</v>
      </c>
      <c r="E9" s="209">
        <f>IF(D9="","&lt;-need input",D9-20*LOG10(3000/1000)+10*LOG10(1/PNoise!$C$11))</f>
        <v>-115.74242509439325</v>
      </c>
      <c r="H9" s="10" t="s">
        <v>404</v>
      </c>
      <c r="K9" s="233">
        <f>$K$6+20*LOG10(PNoise!$A$8*1000000)-10*LOG10(PNoise!A14*1000)</f>
        <v>-110.05438883748761</v>
      </c>
      <c r="L9" s="231">
        <v>-100</v>
      </c>
    </row>
    <row r="10" spans="1:12" ht="12.75" customHeight="1">
      <c r="A10" s="10" t="s">
        <v>413</v>
      </c>
      <c r="B10" s="10">
        <v>-100</v>
      </c>
      <c r="C10" s="201">
        <f t="shared" si="0"/>
        <v>-212.55272505103306</v>
      </c>
      <c r="D10" s="10">
        <v>-94</v>
      </c>
      <c r="E10" s="209">
        <f>IF(D10="","&lt;-need input",D10-20*LOG10(3000/1000)+10*LOG10(1/PNoise!$C$11))</f>
        <v>-113.54242509439325</v>
      </c>
      <c r="H10" s="10" t="s">
        <v>404</v>
      </c>
      <c r="K10" s="233">
        <f>$K$6+20*LOG10(PNoise!$A$8*1000000)-10*LOG10(PNoise!A15*1000)</f>
        <v>-120.05438883748761</v>
      </c>
      <c r="L10" s="231">
        <v>-108</v>
      </c>
    </row>
    <row r="11" spans="1:12" ht="12.75" customHeight="1">
      <c r="C11" s="201"/>
      <c r="E11" s="209"/>
      <c r="K11" s="233">
        <f>$K$6+20*LOG10(PNoise!$A$8*1000000)-10*LOG10(PNoise!A17*1000)</f>
        <v>-130.05438883748761</v>
      </c>
      <c r="L11" s="232"/>
    </row>
    <row r="12" spans="1:12" ht="12.75" customHeight="1">
      <c r="A12" s="10" t="s">
        <v>412</v>
      </c>
      <c r="B12" s="10">
        <v>-107</v>
      </c>
      <c r="C12" s="201">
        <f t="shared" ref="C12:C13" si="1">IF(B12="","&lt;-need input",B12-10*LOG10($B$3*1000000)-20*LOG10($D$3))</f>
        <v>-219.55272505103306</v>
      </c>
      <c r="D12" s="10">
        <v>-96</v>
      </c>
      <c r="E12" s="209">
        <f>IF(D12="","&lt;-need input",D12-20*LOG10(3000/1000)+10*LOG10(1/PNoise!$C$11))</f>
        <v>-115.54242509439325</v>
      </c>
      <c r="H12" s="10" t="s">
        <v>414</v>
      </c>
      <c r="K12" s="233">
        <f>$K$6+20*LOG10(PNoise!$A$8*1000000)-10*LOG10(PNoise!A21*1000)</f>
        <v>-140.05438883748761</v>
      </c>
      <c r="L12" s="232"/>
    </row>
    <row r="13" spans="1:12" ht="12.75" customHeight="1">
      <c r="A13" s="10">
        <v>0.3</v>
      </c>
      <c r="B13" s="10">
        <v>-102</v>
      </c>
      <c r="C13" s="201">
        <f t="shared" si="1"/>
        <v>-214.55272505103306</v>
      </c>
      <c r="D13" s="10">
        <v>-94</v>
      </c>
      <c r="E13" s="209">
        <f>IF(D13="","&lt;-need input",D13-20*LOG10(3000/1000)+10*LOG10(1/PNoise!$C$11))</f>
        <v>-113.54242509439325</v>
      </c>
      <c r="H13" s="10" t="s">
        <v>414</v>
      </c>
      <c r="K13" s="233">
        <f>$K$6+20*LOG10(PNoise!$A$8*1000000)-10*LOG10(PNoise!A24*1000)</f>
        <v>-150.05438883748761</v>
      </c>
      <c r="L13" s="232"/>
    </row>
    <row r="14" spans="1:12" ht="12.75" customHeight="1">
      <c r="B14" s="209"/>
      <c r="C14" s="209"/>
      <c r="D14" s="209"/>
      <c r="F14" s="209"/>
      <c r="G14" s="209"/>
    </row>
    <row r="15" spans="1:12" ht="12.75" customHeight="1">
      <c r="A15" s="10" t="s">
        <v>415</v>
      </c>
    </row>
    <row r="16" spans="1:12" ht="12.75" customHeight="1">
      <c r="A16" s="201">
        <f>1.63/'Top Level'!H10</f>
        <v>0.31960784313725488</v>
      </c>
    </row>
    <row r="18" spans="1:10" ht="12.75" customHeight="1">
      <c r="A18" s="10" t="s">
        <v>416</v>
      </c>
      <c r="B18" s="10" t="s">
        <v>417</v>
      </c>
    </row>
    <row r="19" spans="1:10" ht="12.75" customHeight="1">
      <c r="A19" s="10">
        <v>0</v>
      </c>
      <c r="B19" s="201">
        <f t="shared" ref="B19:B34" si="2">A$16*(1+A19)</f>
        <v>0.31960784313725488</v>
      </c>
    </row>
    <row r="20" spans="1:10" ht="12.75" customHeight="1">
      <c r="A20" s="10">
        <v>1</v>
      </c>
      <c r="B20" s="201">
        <f t="shared" si="2"/>
        <v>0.63921568627450975</v>
      </c>
    </row>
    <row r="21" spans="1:10" ht="12.75" customHeight="1">
      <c r="A21" s="10">
        <v>2</v>
      </c>
      <c r="B21" s="201">
        <f t="shared" si="2"/>
        <v>0.95882352941176463</v>
      </c>
    </row>
    <row r="22" spans="1:10" ht="12.75" customHeight="1">
      <c r="A22" s="10">
        <v>3</v>
      </c>
      <c r="B22" s="201">
        <f t="shared" si="2"/>
        <v>1.2784313725490195</v>
      </c>
    </row>
    <row r="23" spans="1:10" ht="12.75" customHeight="1">
      <c r="A23" s="10">
        <v>4</v>
      </c>
      <c r="B23" s="201">
        <f t="shared" si="2"/>
        <v>1.5980392156862744</v>
      </c>
    </row>
    <row r="24" spans="1:10" ht="30">
      <c r="A24" s="10">
        <v>5</v>
      </c>
      <c r="B24" s="201">
        <f t="shared" si="2"/>
        <v>1.9176470588235293</v>
      </c>
      <c r="D24" s="234" t="s">
        <v>418</v>
      </c>
      <c r="E24" s="234" t="s">
        <v>419</v>
      </c>
      <c r="F24" s="234" t="s">
        <v>420</v>
      </c>
      <c r="G24" s="235">
        <v>-9.7699999999999995E-2</v>
      </c>
      <c r="H24" s="235">
        <v>1.4158999999999999</v>
      </c>
      <c r="I24" s="235">
        <v>-7.0327000000000002</v>
      </c>
      <c r="J24" s="235">
        <v>-210.62</v>
      </c>
    </row>
    <row r="25" spans="1:10" ht="15">
      <c r="A25" s="10">
        <v>6</v>
      </c>
      <c r="B25" s="201">
        <f t="shared" si="2"/>
        <v>2.2372549019607844</v>
      </c>
      <c r="D25" s="234">
        <v>0.32</v>
      </c>
      <c r="E25" s="234">
        <v>-212.55</v>
      </c>
      <c r="F25" s="236">
        <f t="shared" ref="F25:F40" si="3">$G$24*D25^3+$H$24*D25^2+$I$24*D25+$J$24</f>
        <v>-212.7286772736</v>
      </c>
      <c r="G25" s="236">
        <f t="shared" ref="G25:G40" si="4">ABS(E25-F25)</f>
        <v>0.17867727359998753</v>
      </c>
      <c r="H25" s="237">
        <f t="shared" ref="H25:H40" si="5">ABS(G25)/E25</f>
        <v>-8.4063643189831818E-4</v>
      </c>
    </row>
    <row r="26" spans="1:10" ht="15">
      <c r="A26" s="10">
        <v>7</v>
      </c>
      <c r="B26" s="201">
        <f t="shared" si="2"/>
        <v>2.556862745098039</v>
      </c>
      <c r="D26" s="234">
        <v>0.64</v>
      </c>
      <c r="E26" s="234">
        <v>-214.55</v>
      </c>
      <c r="F26" s="236">
        <f t="shared" si="3"/>
        <v>-214.56658682880001</v>
      </c>
      <c r="G26" s="236">
        <f t="shared" si="4"/>
        <v>1.6586828800001285E-2</v>
      </c>
      <c r="H26" s="237">
        <f t="shared" si="5"/>
        <v>-7.7309852248899017E-5</v>
      </c>
    </row>
    <row r="27" spans="1:10" ht="15">
      <c r="A27" s="10">
        <v>8</v>
      </c>
      <c r="B27" s="201">
        <f t="shared" si="2"/>
        <v>2.8764705882352937</v>
      </c>
      <c r="D27" s="234">
        <v>0.96</v>
      </c>
      <c r="E27" s="234">
        <v>-216.55</v>
      </c>
      <c r="F27" s="236">
        <f t="shared" si="3"/>
        <v>-216.1529372672</v>
      </c>
      <c r="G27" s="236">
        <f t="shared" si="4"/>
        <v>0.39706273280000914</v>
      </c>
      <c r="H27" s="237">
        <f t="shared" si="5"/>
        <v>-1.8335845430616908E-3</v>
      </c>
    </row>
    <row r="28" spans="1:10" ht="15">
      <c r="A28" s="10">
        <v>9</v>
      </c>
      <c r="B28" s="201">
        <f t="shared" si="2"/>
        <v>3.1960784313725488</v>
      </c>
      <c r="D28" s="234">
        <v>1.28</v>
      </c>
      <c r="E28" s="234">
        <v>-217.55</v>
      </c>
      <c r="F28" s="236">
        <f t="shared" si="3"/>
        <v>-217.50693719040001</v>
      </c>
      <c r="G28" s="236">
        <f t="shared" si="4"/>
        <v>4.3062809600002083E-2</v>
      </c>
      <c r="H28" s="237">
        <f t="shared" si="5"/>
        <v>-1.9794442472995669E-4</v>
      </c>
    </row>
    <row r="29" spans="1:10" ht="15">
      <c r="A29" s="10">
        <v>10</v>
      </c>
      <c r="B29" s="201">
        <f t="shared" si="2"/>
        <v>3.5156862745098039</v>
      </c>
      <c r="D29" s="234">
        <v>1.6</v>
      </c>
      <c r="E29" s="234">
        <v>-218.55</v>
      </c>
      <c r="F29" s="236">
        <f t="shared" si="3"/>
        <v>-218.64779520000002</v>
      </c>
      <c r="G29" s="236">
        <f t="shared" si="4"/>
        <v>9.7795200000007299E-2</v>
      </c>
      <c r="H29" s="237">
        <f t="shared" si="5"/>
        <v>-4.4747288949900383E-4</v>
      </c>
    </row>
    <row r="30" spans="1:10" ht="15">
      <c r="A30" s="10">
        <v>11</v>
      </c>
      <c r="B30" s="201">
        <f t="shared" si="2"/>
        <v>3.8352941176470585</v>
      </c>
      <c r="D30" s="234">
        <v>1.92</v>
      </c>
      <c r="E30" s="234">
        <v>-219.55</v>
      </c>
      <c r="F30" s="236">
        <f t="shared" si="3"/>
        <v>-219.59471989760002</v>
      </c>
      <c r="G30" s="236">
        <f t="shared" si="4"/>
        <v>4.4719897600003833E-2</v>
      </c>
      <c r="H30" s="237">
        <f t="shared" si="5"/>
        <v>-2.0368889820088286E-4</v>
      </c>
    </row>
    <row r="31" spans="1:10" ht="15">
      <c r="A31" s="10">
        <v>12</v>
      </c>
      <c r="B31" s="201">
        <f t="shared" si="2"/>
        <v>4.1549019607843132</v>
      </c>
      <c r="D31" s="234">
        <v>2.2400000000000002</v>
      </c>
      <c r="E31" s="234">
        <v>-220.21666666666701</v>
      </c>
      <c r="F31" s="236">
        <f t="shared" si="3"/>
        <v>-220.36691988480001</v>
      </c>
      <c r="G31" s="236">
        <f t="shared" si="4"/>
        <v>0.15025321813300252</v>
      </c>
      <c r="H31" s="237">
        <f t="shared" si="5"/>
        <v>-6.8229721395444921E-4</v>
      </c>
    </row>
    <row r="32" spans="1:10" ht="15">
      <c r="A32" s="10">
        <v>13</v>
      </c>
      <c r="B32" s="201">
        <f t="shared" si="2"/>
        <v>4.4745098039215687</v>
      </c>
      <c r="D32" s="234">
        <v>2.56</v>
      </c>
      <c r="E32" s="234">
        <v>-220.88333333333301</v>
      </c>
      <c r="F32" s="236">
        <f t="shared" si="3"/>
        <v>-220.98360376319999</v>
      </c>
      <c r="G32" s="236">
        <f t="shared" si="4"/>
        <v>0.1002704298669812</v>
      </c>
      <c r="H32" s="237">
        <f t="shared" si="5"/>
        <v>-4.5395199517232933E-4</v>
      </c>
    </row>
    <row r="33" spans="1:10" ht="15">
      <c r="A33" s="10">
        <v>14</v>
      </c>
      <c r="B33" s="201">
        <f t="shared" si="2"/>
        <v>4.7941176470588234</v>
      </c>
      <c r="D33" s="234">
        <v>2.88</v>
      </c>
      <c r="E33" s="234">
        <v>-221.55</v>
      </c>
      <c r="F33" s="236">
        <f t="shared" si="3"/>
        <v>-221.4639801344</v>
      </c>
      <c r="G33" s="236">
        <f t="shared" si="4"/>
        <v>8.6019865600007961E-2</v>
      </c>
      <c r="H33" s="237">
        <f t="shared" si="5"/>
        <v>-3.8826389347780619E-4</v>
      </c>
    </row>
    <row r="34" spans="1:10" ht="15">
      <c r="A34" s="10">
        <v>15</v>
      </c>
      <c r="B34" s="201">
        <f t="shared" si="2"/>
        <v>5.113725490196078</v>
      </c>
      <c r="D34" s="234">
        <v>3.2</v>
      </c>
      <c r="E34" s="234">
        <v>-221.8</v>
      </c>
      <c r="F34" s="236">
        <f t="shared" si="3"/>
        <v>-221.8272576</v>
      </c>
      <c r="G34" s="236">
        <f t="shared" si="4"/>
        <v>2.725759999998445E-2</v>
      </c>
      <c r="H34" s="237">
        <f t="shared" si="5"/>
        <v>-1.2289269612256287E-4</v>
      </c>
    </row>
    <row r="35" spans="1:10" ht="15">
      <c r="D35" s="234">
        <v>3.52</v>
      </c>
      <c r="E35" s="234">
        <v>-222.05</v>
      </c>
      <c r="F35" s="236">
        <f t="shared" si="3"/>
        <v>-222.09264476160001</v>
      </c>
      <c r="G35" s="236">
        <f t="shared" si="4"/>
        <v>4.2644761600001857E-2</v>
      </c>
      <c r="H35" s="237">
        <f t="shared" si="5"/>
        <v>-1.9205026615627948E-4</v>
      </c>
    </row>
    <row r="36" spans="1:10" ht="15">
      <c r="A36" s="238"/>
      <c r="B36" s="238"/>
      <c r="C36" s="238"/>
      <c r="D36" s="234">
        <v>3.84</v>
      </c>
      <c r="E36" s="234">
        <v>-222.3</v>
      </c>
      <c r="F36" s="236">
        <f t="shared" si="3"/>
        <v>-222.27935022080001</v>
      </c>
      <c r="G36" s="236">
        <f t="shared" si="4"/>
        <v>2.064977919999933E-2</v>
      </c>
      <c r="H36" s="237">
        <f t="shared" si="5"/>
        <v>-9.2891494376965041E-5</v>
      </c>
    </row>
    <row r="37" spans="1:10" ht="15">
      <c r="A37" s="238"/>
      <c r="B37" s="238"/>
      <c r="C37" s="238"/>
      <c r="D37" s="234">
        <v>4.16</v>
      </c>
      <c r="E37" s="234">
        <v>-222.55</v>
      </c>
      <c r="F37" s="236">
        <f t="shared" si="3"/>
        <v>-222.40658257920001</v>
      </c>
      <c r="G37" s="236">
        <f t="shared" si="4"/>
        <v>0.14341742080000586</v>
      </c>
      <c r="H37" s="237">
        <f t="shared" si="5"/>
        <v>-6.444278625028346E-4</v>
      </c>
    </row>
    <row r="38" spans="1:10" ht="15">
      <c r="A38" s="238"/>
      <c r="B38" s="238"/>
      <c r="C38" s="238"/>
      <c r="D38" s="234">
        <v>4.4800000000000004</v>
      </c>
      <c r="E38" s="234">
        <v>-222.55</v>
      </c>
      <c r="F38" s="236">
        <f t="shared" si="3"/>
        <v>-222.49355043840001</v>
      </c>
      <c r="G38" s="236">
        <f t="shared" si="4"/>
        <v>5.6449561600004472E-2</v>
      </c>
      <c r="H38" s="237">
        <f t="shared" si="5"/>
        <v>-2.5364889507977742E-4</v>
      </c>
    </row>
    <row r="39" spans="1:10" ht="15">
      <c r="A39" s="238"/>
      <c r="B39" s="238"/>
      <c r="C39" s="238"/>
      <c r="D39" s="234">
        <v>4.8</v>
      </c>
      <c r="E39" s="234">
        <v>-222.55</v>
      </c>
      <c r="F39" s="236">
        <f t="shared" si="3"/>
        <v>-222.5594624</v>
      </c>
      <c r="G39" s="236">
        <f t="shared" si="4"/>
        <v>9.4623999999896569E-3</v>
      </c>
      <c r="H39" s="237">
        <f t="shared" si="5"/>
        <v>-4.2518085823363995E-5</v>
      </c>
    </row>
    <row r="40" spans="1:10" ht="15">
      <c r="A40" s="238"/>
      <c r="B40" s="238"/>
      <c r="C40" s="238"/>
      <c r="D40" s="234">
        <v>5.12</v>
      </c>
      <c r="E40" s="234">
        <v>-222.55</v>
      </c>
      <c r="F40" s="236">
        <f t="shared" si="3"/>
        <v>-222.6235270656</v>
      </c>
      <c r="G40" s="236">
        <f t="shared" si="4"/>
        <v>7.3527065599989783E-2</v>
      </c>
      <c r="H40" s="237">
        <f t="shared" si="5"/>
        <v>-3.3038447809476422E-4</v>
      </c>
    </row>
    <row r="41" spans="1:10" ht="15">
      <c r="A41" s="238"/>
      <c r="B41" s="238"/>
      <c r="C41" s="238"/>
    </row>
    <row r="42" spans="1:10" ht="15">
      <c r="A42" s="238"/>
      <c r="B42" s="238"/>
      <c r="C42" s="238"/>
    </row>
    <row r="43" spans="1:10" ht="15">
      <c r="A43" s="238"/>
      <c r="B43" s="238"/>
      <c r="C43" s="238"/>
    </row>
    <row r="44" spans="1:10" ht="30">
      <c r="A44" s="238"/>
      <c r="B44" s="238"/>
      <c r="C44" s="238"/>
      <c r="D44" s="234" t="s">
        <v>418</v>
      </c>
      <c r="E44" s="234" t="s">
        <v>252</v>
      </c>
      <c r="G44" s="234">
        <v>-8.6099999999999996E-2</v>
      </c>
      <c r="H44" s="234">
        <v>0.92290000000000005</v>
      </c>
      <c r="I44" s="234">
        <v>-3.1987000000000001</v>
      </c>
      <c r="J44" s="234">
        <v>-112.87</v>
      </c>
    </row>
    <row r="45" spans="1:10" ht="15">
      <c r="A45" s="238"/>
      <c r="B45" s="238"/>
      <c r="C45" s="238"/>
      <c r="D45" s="234">
        <v>0.32</v>
      </c>
      <c r="E45" s="234">
        <v>-113.5</v>
      </c>
      <c r="F45" s="236">
        <f t="shared" ref="F45:F60" si="6">$G$44*D45^3+$H$44*D45^2+$I$44*D45+$J$44</f>
        <v>-113.80190036480001</v>
      </c>
      <c r="G45" s="86">
        <f t="shared" ref="G45:G60" si="7">ABS(E45-F45)</f>
        <v>0.30190036480000515</v>
      </c>
      <c r="H45" s="237">
        <f t="shared" ref="H45:H60" si="8">G45/E45</f>
        <v>-2.6599151083700895E-3</v>
      </c>
    </row>
    <row r="46" spans="1:10" ht="15">
      <c r="A46" s="238"/>
      <c r="B46" s="238"/>
      <c r="C46" s="238"/>
      <c r="D46" s="234">
        <v>0.64</v>
      </c>
      <c r="E46" s="234">
        <v>-114.6</v>
      </c>
      <c r="F46" s="236">
        <f t="shared" si="6"/>
        <v>-114.5617187584</v>
      </c>
      <c r="G46" s="86">
        <f t="shared" si="7"/>
        <v>3.8281241599989357E-2</v>
      </c>
      <c r="H46" s="237">
        <f t="shared" si="8"/>
        <v>-3.3404224781840626E-4</v>
      </c>
    </row>
    <row r="47" spans="1:10" ht="15">
      <c r="A47" s="238"/>
      <c r="B47" s="238"/>
      <c r="C47" s="238"/>
      <c r="D47" s="234">
        <v>0.96</v>
      </c>
      <c r="E47" s="234">
        <v>-115.7</v>
      </c>
      <c r="F47" s="236">
        <f t="shared" si="6"/>
        <v>-115.16638312960001</v>
      </c>
      <c r="G47" s="86">
        <f t="shared" si="7"/>
        <v>0.53361687039999595</v>
      </c>
      <c r="H47" s="237">
        <f t="shared" si="8"/>
        <v>-4.6120732100258938E-3</v>
      </c>
    </row>
    <row r="48" spans="1:10" ht="15">
      <c r="A48" s="238"/>
      <c r="B48" s="238"/>
      <c r="C48" s="238"/>
      <c r="D48" s="234">
        <v>1.28</v>
      </c>
      <c r="E48" s="234">
        <v>-115.8</v>
      </c>
      <c r="F48" s="236">
        <f t="shared" si="6"/>
        <v>-115.6328214272</v>
      </c>
      <c r="G48" s="86">
        <f t="shared" si="7"/>
        <v>0.16717857279999748</v>
      </c>
      <c r="H48" s="237">
        <f t="shared" si="8"/>
        <v>-1.4436837029360751E-3</v>
      </c>
    </row>
    <row r="49" spans="1:8" ht="15">
      <c r="A49" s="238"/>
      <c r="B49" s="238"/>
      <c r="C49" s="238"/>
      <c r="D49" s="234">
        <v>1.6</v>
      </c>
      <c r="E49" s="234">
        <v>-115.9</v>
      </c>
      <c r="F49" s="236">
        <f t="shared" si="6"/>
        <v>-115.9779616</v>
      </c>
      <c r="G49" s="86">
        <f t="shared" si="7"/>
        <v>7.7961599999994746E-2</v>
      </c>
      <c r="H49" s="237">
        <f t="shared" si="8"/>
        <v>-6.7266264020702973E-4</v>
      </c>
    </row>
    <row r="50" spans="1:8" ht="15">
      <c r="A50" s="238"/>
      <c r="B50" s="238"/>
      <c r="C50" s="238"/>
      <c r="D50" s="234">
        <v>1.92</v>
      </c>
      <c r="E50" s="234">
        <v>-116</v>
      </c>
      <c r="F50" s="236">
        <f t="shared" si="6"/>
        <v>-116.2187315968</v>
      </c>
      <c r="G50" s="86">
        <f t="shared" si="7"/>
        <v>0.21873159679999787</v>
      </c>
      <c r="H50" s="237">
        <f t="shared" si="8"/>
        <v>-1.885617213793085E-3</v>
      </c>
    </row>
    <row r="51" spans="1:8" ht="15">
      <c r="A51" s="238"/>
      <c r="B51" s="238"/>
      <c r="C51" s="238"/>
      <c r="D51" s="234">
        <v>2.2400000000000002</v>
      </c>
      <c r="E51" s="234">
        <v>-116.166666666667</v>
      </c>
      <c r="F51" s="236">
        <f t="shared" si="6"/>
        <v>-116.37205936640001</v>
      </c>
      <c r="G51" s="86">
        <f t="shared" si="7"/>
        <v>0.20539269973301089</v>
      </c>
      <c r="H51" s="237">
        <f t="shared" si="8"/>
        <v>-1.768086367859486E-3</v>
      </c>
    </row>
    <row r="52" spans="1:8" ht="15">
      <c r="A52" s="238"/>
      <c r="B52" s="238"/>
      <c r="C52" s="238"/>
      <c r="D52" s="234">
        <v>2.56</v>
      </c>
      <c r="E52" s="234">
        <v>-116.333333333333</v>
      </c>
      <c r="F52" s="236">
        <f t="shared" si="6"/>
        <v>-116.45487285760001</v>
      </c>
      <c r="G52" s="86">
        <f t="shared" si="7"/>
        <v>0.12153952426700698</v>
      </c>
      <c r="H52" s="237">
        <f t="shared" si="8"/>
        <v>-1.0447523575960514E-3</v>
      </c>
    </row>
    <row r="53" spans="1:8" ht="15">
      <c r="D53" s="234">
        <v>2.88</v>
      </c>
      <c r="E53" s="234">
        <v>-116.5</v>
      </c>
      <c r="F53" s="236">
        <f t="shared" si="6"/>
        <v>-116.4841000192</v>
      </c>
      <c r="G53" s="86">
        <f t="shared" si="7"/>
        <v>1.5899980800000435E-2</v>
      </c>
      <c r="H53" s="237">
        <f t="shared" si="8"/>
        <v>-1.3648052188841575E-4</v>
      </c>
    </row>
    <row r="54" spans="1:8" ht="15">
      <c r="D54" s="234">
        <v>3.2</v>
      </c>
      <c r="E54" s="234">
        <v>-116.5</v>
      </c>
      <c r="F54" s="236">
        <f t="shared" si="6"/>
        <v>-116.4766688</v>
      </c>
      <c r="G54" s="86">
        <f t="shared" si="7"/>
        <v>2.3331200000001218E-2</v>
      </c>
      <c r="H54" s="237">
        <f t="shared" si="8"/>
        <v>-2.0026781115880873E-4</v>
      </c>
    </row>
    <row r="55" spans="1:8" ht="15">
      <c r="D55" s="234">
        <v>3.52</v>
      </c>
      <c r="E55" s="234">
        <v>-116.5</v>
      </c>
      <c r="F55" s="236">
        <f t="shared" si="6"/>
        <v>-116.44950714880001</v>
      </c>
      <c r="G55" s="86">
        <f t="shared" si="7"/>
        <v>5.0492851199990696E-2</v>
      </c>
      <c r="H55" s="237">
        <f t="shared" si="8"/>
        <v>-4.3341503175957678E-4</v>
      </c>
    </row>
    <row r="56" spans="1:8" ht="15">
      <c r="A56" s="238"/>
      <c r="B56" s="238"/>
      <c r="D56" s="234">
        <v>3.84</v>
      </c>
      <c r="E56" s="234">
        <v>-116.5</v>
      </c>
      <c r="F56" s="236">
        <f t="shared" si="6"/>
        <v>-116.41954301440001</v>
      </c>
      <c r="G56" s="86">
        <f t="shared" si="7"/>
        <v>8.0456985599994368E-2</v>
      </c>
      <c r="H56" s="237">
        <f t="shared" si="8"/>
        <v>-6.9061790214587442E-4</v>
      </c>
    </row>
    <row r="57" spans="1:8" ht="15">
      <c r="A57" s="238"/>
      <c r="B57" s="238"/>
      <c r="C57" s="238"/>
      <c r="D57" s="234">
        <v>4.16</v>
      </c>
      <c r="E57" s="234">
        <v>-116.5</v>
      </c>
      <c r="F57" s="236">
        <f t="shared" si="6"/>
        <v>-116.4037043456</v>
      </c>
      <c r="G57" s="86">
        <f t="shared" si="7"/>
        <v>9.6295654399995101E-2</v>
      </c>
      <c r="H57" s="237">
        <f t="shared" si="8"/>
        <v>-8.2657214077249015E-4</v>
      </c>
    </row>
    <row r="58" spans="1:8" ht="15">
      <c r="A58" s="238"/>
      <c r="B58" s="238"/>
      <c r="C58" s="238"/>
      <c r="D58" s="234">
        <v>4.4800000000000004</v>
      </c>
      <c r="E58" s="234">
        <v>-116.5</v>
      </c>
      <c r="F58" s="236">
        <f t="shared" si="6"/>
        <v>-116.4189190912</v>
      </c>
      <c r="G58" s="86">
        <f t="shared" si="7"/>
        <v>8.1080908800004181E-2</v>
      </c>
      <c r="H58" s="237">
        <f t="shared" si="8"/>
        <v>-6.9597346609445645E-4</v>
      </c>
    </row>
    <row r="59" spans="1:8" ht="15">
      <c r="A59" s="238"/>
      <c r="B59" s="238"/>
      <c r="C59" s="238"/>
      <c r="D59" s="234">
        <v>4.8</v>
      </c>
      <c r="E59" s="234">
        <v>-116.5</v>
      </c>
      <c r="F59" s="236">
        <f t="shared" si="6"/>
        <v>-116.48211520000001</v>
      </c>
      <c r="G59" s="86">
        <f t="shared" si="7"/>
        <v>1.7884799999990264E-2</v>
      </c>
      <c r="H59" s="237">
        <f t="shared" si="8"/>
        <v>-1.5351759656644003E-4</v>
      </c>
    </row>
    <row r="60" spans="1:8" ht="15">
      <c r="A60" s="238"/>
      <c r="B60" s="238"/>
      <c r="C60" s="238"/>
      <c r="D60" s="234">
        <v>5.12</v>
      </c>
      <c r="E60" s="234">
        <v>-116.5</v>
      </c>
      <c r="F60" s="236">
        <f t="shared" si="6"/>
        <v>-116.61022062080001</v>
      </c>
      <c r="G60" s="86">
        <f t="shared" si="7"/>
        <v>0.11022062080000694</v>
      </c>
      <c r="H60" s="237">
        <f t="shared" si="8"/>
        <v>-9.460997493562828E-4</v>
      </c>
    </row>
    <row r="61" spans="1:8" ht="15">
      <c r="A61" s="238"/>
      <c r="B61" s="238"/>
      <c r="C61" s="238"/>
    </row>
    <row r="62" spans="1:8" ht="15">
      <c r="A62" s="238"/>
      <c r="B62" s="238"/>
      <c r="C62" s="238"/>
    </row>
    <row r="63" spans="1:8" ht="15">
      <c r="A63" s="238"/>
      <c r="B63" s="238"/>
      <c r="C63" s="238"/>
    </row>
    <row r="64" spans="1:8" ht="15">
      <c r="A64" s="238"/>
      <c r="B64" s="238"/>
      <c r="C64" s="238"/>
    </row>
    <row r="65" spans="1:3" ht="15">
      <c r="A65" s="238"/>
      <c r="B65" s="238"/>
      <c r="C65" s="238"/>
    </row>
    <row r="66" spans="1:3" ht="15">
      <c r="A66" s="238"/>
      <c r="B66" s="238"/>
      <c r="C66" s="238"/>
    </row>
    <row r="67" spans="1:3" ht="15">
      <c r="A67" s="238"/>
      <c r="B67" s="238"/>
      <c r="C67" s="238"/>
    </row>
    <row r="68" spans="1:3" ht="15">
      <c r="A68" s="238"/>
      <c r="B68" s="238"/>
      <c r="C68" s="238"/>
    </row>
    <row r="69" spans="1:3" ht="15">
      <c r="A69" s="238"/>
      <c r="B69" s="238"/>
      <c r="C69" s="238"/>
    </row>
    <row r="70" spans="1:3" ht="15">
      <c r="A70" s="238"/>
      <c r="B70" s="238"/>
      <c r="C70" s="238"/>
    </row>
    <row r="71" spans="1:3" ht="15">
      <c r="A71" s="238"/>
      <c r="B71" s="238"/>
      <c r="C71" s="238"/>
    </row>
    <row r="72" spans="1:3" ht="15">
      <c r="A72" s="238"/>
      <c r="B72" s="238"/>
      <c r="C72" s="238"/>
    </row>
  </sheetData>
  <mergeCells count="1">
    <mergeCell ref="A2:I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46"/>
  <sheetViews>
    <sheetView workbookViewId="0">
      <selection sqref="A1:D1"/>
    </sheetView>
  </sheetViews>
  <sheetFormatPr defaultColWidth="14.42578125" defaultRowHeight="12.75" customHeight="1"/>
  <cols>
    <col min="1" max="21" width="17.28515625" customWidth="1"/>
  </cols>
  <sheetData>
    <row r="1" spans="1:13" ht="12.75" customHeight="1">
      <c r="A1" s="472" t="s">
        <v>421</v>
      </c>
      <c r="B1" s="472"/>
      <c r="C1" s="472"/>
      <c r="D1" s="472"/>
      <c r="E1" s="11"/>
      <c r="F1" s="81">
        <v>153.6</v>
      </c>
      <c r="J1" s="81" t="s">
        <v>422</v>
      </c>
      <c r="L1" s="11"/>
    </row>
    <row r="2" spans="1:13" ht="12.75" customHeight="1">
      <c r="A2" s="104" t="s">
        <v>423</v>
      </c>
      <c r="B2" s="104" t="s">
        <v>424</v>
      </c>
      <c r="C2" s="104" t="s">
        <v>425</v>
      </c>
      <c r="D2" s="134" t="str">
        <f>'Top Level'!A24</f>
        <v>xtal1</v>
      </c>
      <c r="E2" s="134" t="str">
        <f>'Top Level'!A25</f>
        <v>xtal2</v>
      </c>
      <c r="F2" s="134" t="str">
        <f>'Top Level'!A26</f>
        <v>ideal</v>
      </c>
      <c r="G2" s="239" t="s">
        <v>426</v>
      </c>
      <c r="H2" s="474" t="s">
        <v>427</v>
      </c>
      <c r="I2" s="9"/>
      <c r="J2" s="104">
        <v>-85</v>
      </c>
      <c r="K2" s="44"/>
      <c r="L2" s="240">
        <f>'Noise model input'!H4</f>
        <v>0</v>
      </c>
      <c r="M2" s="7"/>
    </row>
    <row r="3" spans="1:13" ht="12.75" customHeight="1">
      <c r="A3" s="104" t="s">
        <v>428</v>
      </c>
      <c r="B3" s="241">
        <v>1</v>
      </c>
      <c r="C3" s="241">
        <v>2</v>
      </c>
      <c r="D3" s="104">
        <v>3</v>
      </c>
      <c r="E3" s="104">
        <v>4</v>
      </c>
      <c r="F3" s="104">
        <v>5</v>
      </c>
      <c r="G3" s="7"/>
      <c r="H3" s="461"/>
      <c r="I3" s="9"/>
      <c r="J3" s="104">
        <v>-110</v>
      </c>
      <c r="K3" s="44"/>
      <c r="L3" s="241">
        <v>4</v>
      </c>
      <c r="M3" s="7"/>
    </row>
    <row r="4" spans="1:13" ht="12.75" customHeight="1">
      <c r="A4" s="104" t="s">
        <v>429</v>
      </c>
      <c r="B4" s="104">
        <v>-115</v>
      </c>
      <c r="C4" s="104">
        <v>-108</v>
      </c>
      <c r="D4" s="134">
        <f>'Top Level'!B24</f>
        <v>-130</v>
      </c>
      <c r="E4" s="134">
        <f>'Top Level'!B25</f>
        <v>-100</v>
      </c>
      <c r="F4" s="134">
        <f>'Top Level'!B26</f>
        <v>-300</v>
      </c>
      <c r="G4" s="7"/>
      <c r="H4" s="461"/>
      <c r="I4" s="9"/>
      <c r="J4" s="104">
        <v>-135</v>
      </c>
      <c r="K4" s="44"/>
      <c r="L4" s="240" t="str">
        <f>'Noise model input'!I4</f>
        <v>MAX923_122.88_3TO</v>
      </c>
      <c r="M4" s="7"/>
    </row>
    <row r="5" spans="1:13" ht="12.75" customHeight="1">
      <c r="A5" s="104" t="s">
        <v>430</v>
      </c>
      <c r="B5" s="104">
        <v>-137.69999999999999</v>
      </c>
      <c r="C5" s="104">
        <v>-143.4</v>
      </c>
      <c r="D5" s="134">
        <f>'Top Level'!C24</f>
        <v>-131</v>
      </c>
      <c r="E5" s="134">
        <f>'Top Level'!C25</f>
        <v>-129</v>
      </c>
      <c r="F5" s="134">
        <f>'Top Level'!C26</f>
        <v>-300</v>
      </c>
      <c r="G5" s="7"/>
      <c r="H5" s="461"/>
      <c r="I5" s="9"/>
      <c r="J5" s="104">
        <v>-145</v>
      </c>
      <c r="K5" s="44"/>
      <c r="L5" s="240">
        <f>'Noise model input'!J4</f>
        <v>0</v>
      </c>
      <c r="M5" s="7"/>
    </row>
    <row r="6" spans="1:13" ht="12.75" customHeight="1">
      <c r="A6" s="104" t="s">
        <v>431</v>
      </c>
      <c r="B6" s="104">
        <v>-148.9</v>
      </c>
      <c r="C6" s="104">
        <v>-157</v>
      </c>
      <c r="D6" s="134">
        <f>'Top Level'!D24</f>
        <v>-133</v>
      </c>
      <c r="E6" s="134">
        <f>'Top Level'!D25</f>
        <v>-142</v>
      </c>
      <c r="F6" s="134">
        <f>'Top Level'!D26</f>
        <v>-300</v>
      </c>
      <c r="G6" s="7"/>
      <c r="H6" s="461"/>
      <c r="I6" s="9"/>
      <c r="J6" s="104">
        <v>-158</v>
      </c>
      <c r="K6" s="44"/>
      <c r="L6" s="240">
        <f>'Noise model input'!K4</f>
        <v>-129</v>
      </c>
      <c r="M6" s="7"/>
    </row>
    <row r="7" spans="1:13" ht="12.75" customHeight="1">
      <c r="A7" s="104" t="s">
        <v>432</v>
      </c>
      <c r="B7" s="104">
        <v>-154</v>
      </c>
      <c r="C7" s="104">
        <v>-161</v>
      </c>
      <c r="D7" s="134">
        <f>'Top Level'!E24</f>
        <v>-136</v>
      </c>
      <c r="E7" s="134">
        <f>'Top Level'!E25</f>
        <v>-147</v>
      </c>
      <c r="F7" s="134">
        <f>'Top Level'!E26</f>
        <v>-300</v>
      </c>
      <c r="G7" s="7"/>
      <c r="H7" s="461"/>
      <c r="J7" s="5"/>
      <c r="K7" s="9"/>
      <c r="L7" s="240">
        <f>'Noise model input'!L4</f>
        <v>-142</v>
      </c>
      <c r="M7" s="7"/>
    </row>
    <row r="8" spans="1:13" ht="12.75" customHeight="1">
      <c r="A8" s="104" t="s">
        <v>433</v>
      </c>
      <c r="B8" s="104">
        <v>-164</v>
      </c>
      <c r="C8" s="104">
        <v>-169</v>
      </c>
      <c r="D8" s="134">
        <f>'Top Level'!F24</f>
        <v>-144</v>
      </c>
      <c r="E8" s="134">
        <f>'Top Level'!F25</f>
        <v>-154</v>
      </c>
      <c r="F8" s="134">
        <f>'Top Level'!F26</f>
        <v>-300</v>
      </c>
      <c r="G8" s="7"/>
      <c r="H8" s="461"/>
      <c r="K8" s="9"/>
      <c r="L8" s="240">
        <f>'Noise model input'!M4</f>
        <v>-147</v>
      </c>
      <c r="M8" s="7"/>
    </row>
    <row r="9" spans="1:13" ht="12.75" customHeight="1">
      <c r="A9" s="5"/>
      <c r="B9" s="242" t="s">
        <v>434</v>
      </c>
      <c r="C9" s="242" t="s">
        <v>434</v>
      </c>
      <c r="D9" s="5"/>
      <c r="E9" s="5"/>
      <c r="F9" s="5"/>
      <c r="L9" s="5"/>
    </row>
    <row r="14" spans="1:13" ht="12.75" customHeight="1">
      <c r="A14" s="11"/>
      <c r="B14" s="11"/>
      <c r="C14" s="11"/>
      <c r="D14" s="11"/>
      <c r="E14" s="11"/>
      <c r="F14" s="11"/>
    </row>
    <row r="15" spans="1:13" ht="12.75" customHeight="1">
      <c r="A15" s="138"/>
      <c r="B15" s="104">
        <v>40</v>
      </c>
      <c r="C15" s="104">
        <v>50</v>
      </c>
      <c r="D15" s="104">
        <v>150</v>
      </c>
      <c r="E15" s="138"/>
      <c r="F15" s="138"/>
      <c r="G15" s="7"/>
    </row>
    <row r="16" spans="1:13" ht="12.75" customHeight="1">
      <c r="A16" s="104" t="s">
        <v>423</v>
      </c>
      <c r="B16" s="104" t="s">
        <v>424</v>
      </c>
      <c r="C16" s="104" t="s">
        <v>425</v>
      </c>
      <c r="D16" s="134" t="str">
        <f t="shared" ref="D16:F16" si="0">D2</f>
        <v>xtal1</v>
      </c>
      <c r="E16" s="134" t="str">
        <f t="shared" si="0"/>
        <v>xtal2</v>
      </c>
      <c r="F16" s="134" t="str">
        <f t="shared" si="0"/>
        <v>ideal</v>
      </c>
      <c r="G16" s="239" t="s">
        <v>435</v>
      </c>
      <c r="H16" s="475" t="s">
        <v>436</v>
      </c>
      <c r="I16" s="10" t="s">
        <v>437</v>
      </c>
      <c r="J16" s="10" t="s">
        <v>438</v>
      </c>
    </row>
    <row r="17" spans="1:10" ht="12.75" customHeight="1">
      <c r="A17" s="104" t="s">
        <v>428</v>
      </c>
      <c r="B17" s="104">
        <v>1</v>
      </c>
      <c r="C17" s="104">
        <v>2</v>
      </c>
      <c r="D17" s="104">
        <v>3</v>
      </c>
      <c r="E17" s="104">
        <v>4</v>
      </c>
      <c r="F17" s="104">
        <v>5</v>
      </c>
      <c r="G17" s="7"/>
      <c r="H17" s="461"/>
    </row>
    <row r="18" spans="1:10" ht="12.75" customHeight="1">
      <c r="A18" s="243" t="s">
        <v>429</v>
      </c>
      <c r="B18" s="244">
        <v>-115</v>
      </c>
      <c r="C18" s="244">
        <v>-108</v>
      </c>
      <c r="D18" s="245">
        <f t="shared" ref="D18:F18" si="1">D4</f>
        <v>-130</v>
      </c>
      <c r="E18" s="245">
        <f t="shared" si="1"/>
        <v>-100</v>
      </c>
      <c r="F18" s="245">
        <f t="shared" si="1"/>
        <v>-300</v>
      </c>
      <c r="G18" s="7"/>
      <c r="H18" s="461"/>
      <c r="I18" s="10">
        <v>-110</v>
      </c>
      <c r="J18" s="10">
        <v>-120</v>
      </c>
    </row>
    <row r="19" spans="1:10" ht="12.75" customHeight="1">
      <c r="A19" s="243" t="s">
        <v>430</v>
      </c>
      <c r="B19" s="244">
        <v>-137.69999999999999</v>
      </c>
      <c r="C19" s="244">
        <v>-143.4</v>
      </c>
      <c r="D19" s="245">
        <f t="shared" ref="D19:F19" si="2">D5</f>
        <v>-131</v>
      </c>
      <c r="E19" s="245">
        <f t="shared" si="2"/>
        <v>-129</v>
      </c>
      <c r="F19" s="245">
        <f t="shared" si="2"/>
        <v>-300</v>
      </c>
      <c r="G19" s="7"/>
      <c r="H19" s="461"/>
      <c r="I19" s="10">
        <v>-130</v>
      </c>
      <c r="J19" s="10">
        <v>-130</v>
      </c>
    </row>
    <row r="20" spans="1:10" ht="12.75" customHeight="1">
      <c r="A20" s="243" t="s">
        <v>439</v>
      </c>
      <c r="B20" s="246">
        <f t="shared" ref="B20:F20" si="3">B19-12*(B19-B21)/20</f>
        <v>-144.41999999999999</v>
      </c>
      <c r="C20" s="246">
        <f t="shared" si="3"/>
        <v>-151.56</v>
      </c>
      <c r="D20" s="246">
        <f t="shared" si="3"/>
        <v>-132.19999999999999</v>
      </c>
      <c r="E20" s="246">
        <f t="shared" si="3"/>
        <v>-136.80000000000001</v>
      </c>
      <c r="F20" s="246">
        <f t="shared" si="3"/>
        <v>-300</v>
      </c>
      <c r="G20" s="7"/>
      <c r="H20" s="461"/>
    </row>
    <row r="21" spans="1:10" ht="12.75" customHeight="1">
      <c r="A21" s="243" t="s">
        <v>431</v>
      </c>
      <c r="B21" s="244">
        <v>-148.9</v>
      </c>
      <c r="C21" s="244">
        <v>-157</v>
      </c>
      <c r="D21" s="245">
        <f t="shared" ref="D21:F21" si="4">D6</f>
        <v>-133</v>
      </c>
      <c r="E21" s="245">
        <f t="shared" si="4"/>
        <v>-142</v>
      </c>
      <c r="F21" s="245">
        <f t="shared" si="4"/>
        <v>-300</v>
      </c>
      <c r="G21" s="7"/>
      <c r="H21" s="461"/>
      <c r="I21" s="10">
        <v>-135</v>
      </c>
      <c r="J21" s="10">
        <v>-135</v>
      </c>
    </row>
    <row r="22" spans="1:10" ht="12.75" customHeight="1">
      <c r="A22" s="243" t="s">
        <v>440</v>
      </c>
      <c r="B22" s="246">
        <f t="shared" ref="B22:F22" si="5">B21-6*(B21-B25)/20</f>
        <v>-150.43</v>
      </c>
      <c r="C22" s="246">
        <f t="shared" si="5"/>
        <v>-158.19999999999999</v>
      </c>
      <c r="D22" s="246">
        <f t="shared" si="5"/>
        <v>-133.9</v>
      </c>
      <c r="E22" s="246">
        <f t="shared" si="5"/>
        <v>-143.5</v>
      </c>
      <c r="F22" s="246">
        <f t="shared" si="5"/>
        <v>-300</v>
      </c>
      <c r="G22" s="7"/>
      <c r="H22" s="461"/>
    </row>
    <row r="23" spans="1:10" ht="12.75" customHeight="1">
      <c r="A23" s="243" t="s">
        <v>441</v>
      </c>
      <c r="B23" s="246">
        <f t="shared" ref="B23:F23" si="6">B21-12*(B21-B25)/20</f>
        <v>-151.96</v>
      </c>
      <c r="C23" s="246">
        <f t="shared" si="6"/>
        <v>-159.4</v>
      </c>
      <c r="D23" s="246">
        <f t="shared" si="6"/>
        <v>-134.80000000000001</v>
      </c>
      <c r="E23" s="246">
        <f t="shared" si="6"/>
        <v>-145</v>
      </c>
      <c r="F23" s="246">
        <f t="shared" si="6"/>
        <v>-300</v>
      </c>
      <c r="G23" s="7"/>
      <c r="H23" s="461"/>
    </row>
    <row r="24" spans="1:10" ht="12.75" customHeight="1">
      <c r="A24" s="243" t="s">
        <v>442</v>
      </c>
      <c r="B24" s="246">
        <f t="shared" ref="B24:F24" si="7">B21-18*(B21-B25)/20</f>
        <v>-153.49</v>
      </c>
      <c r="C24" s="246">
        <f t="shared" si="7"/>
        <v>-160.6</v>
      </c>
      <c r="D24" s="246">
        <f t="shared" si="7"/>
        <v>-135.69999999999999</v>
      </c>
      <c r="E24" s="246">
        <f t="shared" si="7"/>
        <v>-146.5</v>
      </c>
      <c r="F24" s="246">
        <f t="shared" si="7"/>
        <v>-300</v>
      </c>
      <c r="G24" s="7"/>
      <c r="H24" s="461"/>
    </row>
    <row r="25" spans="1:10" ht="12.75" customHeight="1">
      <c r="A25" s="243" t="s">
        <v>432</v>
      </c>
      <c r="B25" s="244">
        <v>-154</v>
      </c>
      <c r="C25" s="244">
        <v>-161</v>
      </c>
      <c r="D25" s="245">
        <f t="shared" ref="D25:F25" si="8">D7</f>
        <v>-136</v>
      </c>
      <c r="E25" s="245">
        <f t="shared" si="8"/>
        <v>-147</v>
      </c>
      <c r="F25" s="245">
        <f t="shared" si="8"/>
        <v>-300</v>
      </c>
      <c r="G25" s="7"/>
      <c r="H25" s="461"/>
      <c r="I25" s="10">
        <v>-140</v>
      </c>
      <c r="J25" s="10">
        <v>-138</v>
      </c>
    </row>
    <row r="26" spans="1:10" ht="12.75" customHeight="1">
      <c r="A26" s="243" t="s">
        <v>443</v>
      </c>
      <c r="B26" s="134">
        <f t="shared" ref="B26:F26" si="9">B25-6*(B25-B28)/20</f>
        <v>-157</v>
      </c>
      <c r="C26" s="134">
        <f t="shared" si="9"/>
        <v>-163.4</v>
      </c>
      <c r="D26" s="134">
        <f t="shared" si="9"/>
        <v>-138.4</v>
      </c>
      <c r="E26" s="134">
        <f t="shared" si="9"/>
        <v>-149.1</v>
      </c>
      <c r="F26" s="134">
        <f t="shared" si="9"/>
        <v>-300</v>
      </c>
      <c r="G26" s="7"/>
      <c r="H26" s="461"/>
    </row>
    <row r="27" spans="1:10" ht="12.75" customHeight="1">
      <c r="A27" s="243" t="s">
        <v>444</v>
      </c>
      <c r="B27" s="246">
        <f t="shared" ref="B27:F27" si="10">B25-12*(B25-B28)/20</f>
        <v>-160</v>
      </c>
      <c r="C27" s="246">
        <f t="shared" si="10"/>
        <v>-165.8</v>
      </c>
      <c r="D27" s="246">
        <f t="shared" si="10"/>
        <v>-140.80000000000001</v>
      </c>
      <c r="E27" s="246">
        <f t="shared" si="10"/>
        <v>-151.19999999999999</v>
      </c>
      <c r="F27" s="246">
        <f t="shared" si="10"/>
        <v>-300</v>
      </c>
      <c r="G27" s="7"/>
      <c r="H27" s="461"/>
    </row>
    <row r="28" spans="1:10" ht="12.75" customHeight="1">
      <c r="A28" s="243" t="s">
        <v>433</v>
      </c>
      <c r="B28" s="244">
        <v>-164</v>
      </c>
      <c r="C28" s="244">
        <v>-169</v>
      </c>
      <c r="D28" s="245">
        <f t="shared" ref="D28:F28" si="11">D8</f>
        <v>-144</v>
      </c>
      <c r="E28" s="245">
        <f t="shared" si="11"/>
        <v>-154</v>
      </c>
      <c r="F28" s="245">
        <f t="shared" si="11"/>
        <v>-300</v>
      </c>
      <c r="G28" s="7"/>
      <c r="H28" s="461"/>
    </row>
    <row r="29" spans="1:10" ht="12.75" customHeight="1">
      <c r="A29" s="104">
        <v>10000</v>
      </c>
      <c r="B29" s="104">
        <v>-200</v>
      </c>
      <c r="C29" s="104">
        <v>-200</v>
      </c>
      <c r="D29" s="104">
        <v>-200</v>
      </c>
      <c r="E29" s="104">
        <v>-200</v>
      </c>
      <c r="F29" s="104">
        <v>-200</v>
      </c>
      <c r="G29" s="7"/>
      <c r="H29" s="461"/>
    </row>
    <row r="30" spans="1:10" ht="12.75" customHeight="1">
      <c r="A30" s="5"/>
      <c r="B30" s="5"/>
      <c r="C30" s="5"/>
      <c r="D30" s="5"/>
      <c r="E30" s="5"/>
      <c r="F30" s="5"/>
    </row>
    <row r="31" spans="1:10" ht="12.75" customHeight="1">
      <c r="A31" s="86" t="str">
        <f>'Top Level'!A10</f>
        <v>xtal1</v>
      </c>
    </row>
    <row r="32" spans="1:10" ht="12.75" customHeight="1">
      <c r="A32" s="81" t="s">
        <v>445</v>
      </c>
      <c r="B32" s="11"/>
    </row>
    <row r="33" spans="1:8" ht="12.75" customHeight="1">
      <c r="A33" s="134">
        <f>HLOOKUP($A$31,B$16:F$17,2,0)</f>
        <v>3</v>
      </c>
      <c r="B33" s="104" t="s">
        <v>428</v>
      </c>
      <c r="C33" s="7"/>
      <c r="D33" s="460" t="s">
        <v>446</v>
      </c>
      <c r="E33" s="461"/>
      <c r="F33" s="461"/>
      <c r="G33" s="461"/>
      <c r="H33" s="475" t="s">
        <v>447</v>
      </c>
    </row>
    <row r="34" spans="1:8" ht="12.75" customHeight="1">
      <c r="A34" s="134">
        <f t="shared" ref="A34:A45" si="12">HLOOKUP($A$33,B$17:F$29,B34)+D$36</f>
        <v>-130</v>
      </c>
      <c r="B34" s="104">
        <v>2</v>
      </c>
      <c r="C34" s="7"/>
      <c r="H34" s="461"/>
    </row>
    <row r="35" spans="1:8" ht="12.75" customHeight="1">
      <c r="A35" s="134">
        <f t="shared" si="12"/>
        <v>-131</v>
      </c>
      <c r="B35" s="104">
        <v>3</v>
      </c>
      <c r="C35" s="7"/>
      <c r="D35" s="198" t="s">
        <v>448</v>
      </c>
      <c r="H35" s="461"/>
    </row>
    <row r="36" spans="1:8" ht="12.75" customHeight="1">
      <c r="A36" s="134">
        <f t="shared" si="12"/>
        <v>-132.19999999999999</v>
      </c>
      <c r="B36" s="104">
        <v>4</v>
      </c>
      <c r="C36" s="7"/>
      <c r="D36" s="203">
        <f>'Top Level'!AB33</f>
        <v>0</v>
      </c>
      <c r="H36" s="461"/>
    </row>
    <row r="37" spans="1:8" ht="12.75" customHeight="1">
      <c r="A37" s="134">
        <f t="shared" si="12"/>
        <v>-133</v>
      </c>
      <c r="B37" s="104">
        <v>5</v>
      </c>
      <c r="C37" s="7"/>
      <c r="H37" s="461"/>
    </row>
    <row r="38" spans="1:8" ht="12.75" customHeight="1">
      <c r="A38" s="134">
        <f t="shared" si="12"/>
        <v>-133.9</v>
      </c>
      <c r="B38" s="104">
        <v>6</v>
      </c>
      <c r="C38" s="7"/>
      <c r="H38" s="461"/>
    </row>
    <row r="39" spans="1:8" ht="12.75" customHeight="1">
      <c r="A39" s="134">
        <f t="shared" si="12"/>
        <v>-134.80000000000001</v>
      </c>
      <c r="B39" s="104">
        <v>7</v>
      </c>
      <c r="C39" s="7"/>
      <c r="H39" s="461"/>
    </row>
    <row r="40" spans="1:8" ht="12.75" customHeight="1">
      <c r="A40" s="134">
        <f t="shared" si="12"/>
        <v>-135.69999999999999</v>
      </c>
      <c r="B40" s="104">
        <v>8</v>
      </c>
      <c r="C40" s="7"/>
      <c r="H40" s="461"/>
    </row>
    <row r="41" spans="1:8" ht="12.75" customHeight="1">
      <c r="A41" s="134">
        <f t="shared" si="12"/>
        <v>-136</v>
      </c>
      <c r="B41" s="104">
        <v>9</v>
      </c>
      <c r="C41" s="7"/>
      <c r="H41" s="461"/>
    </row>
    <row r="42" spans="1:8" ht="12.75" customHeight="1">
      <c r="A42" s="134">
        <f t="shared" si="12"/>
        <v>-138.4</v>
      </c>
      <c r="B42" s="104">
        <v>10</v>
      </c>
      <c r="C42" s="7"/>
      <c r="H42" s="461"/>
    </row>
    <row r="43" spans="1:8" ht="12.75" customHeight="1">
      <c r="A43" s="134">
        <f t="shared" si="12"/>
        <v>-140.80000000000001</v>
      </c>
      <c r="B43" s="104">
        <v>11</v>
      </c>
      <c r="C43" s="7"/>
    </row>
    <row r="44" spans="1:8" ht="12.75" customHeight="1">
      <c r="A44" s="134">
        <f t="shared" si="12"/>
        <v>-144</v>
      </c>
      <c r="B44" s="104">
        <v>12</v>
      </c>
      <c r="C44" s="7"/>
    </row>
    <row r="45" spans="1:8">
      <c r="A45" s="134">
        <f t="shared" si="12"/>
        <v>-200</v>
      </c>
      <c r="B45" s="104">
        <v>13</v>
      </c>
      <c r="C45" s="7"/>
    </row>
    <row r="46" spans="1:8">
      <c r="A46" s="5"/>
      <c r="B46" s="5"/>
    </row>
  </sheetData>
  <mergeCells count="5">
    <mergeCell ref="A1:D1"/>
    <mergeCell ref="H2:H8"/>
    <mergeCell ref="H16:H29"/>
    <mergeCell ref="D33:G33"/>
    <mergeCell ref="H33:H42"/>
  </mergeCells>
  <dataValidations count="1">
    <dataValidation type="custom" allowBlank="1" showDropDown="1" showInputMessage="1" prompt="Enter text that contains" sqref="B16:F16" xr:uid="{00000000-0002-0000-0C00-000000000000}">
      <formula1>TRUE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P60"/>
  <sheetViews>
    <sheetView topLeftCell="A29" workbookViewId="0">
      <selection activeCell="AI51" sqref="AI51"/>
    </sheetView>
  </sheetViews>
  <sheetFormatPr defaultColWidth="14.42578125" defaultRowHeight="12.75" customHeight="1"/>
  <cols>
    <col min="1" max="25" width="11.28515625" customWidth="1"/>
    <col min="26" max="26" width="13.140625" customWidth="1"/>
    <col min="27" max="27" width="12.7109375" customWidth="1"/>
    <col min="28" max="38" width="17.28515625" customWidth="1"/>
  </cols>
  <sheetData>
    <row r="1" spans="1:23" ht="12.75" customHeight="1">
      <c r="A1" s="10" t="s">
        <v>174</v>
      </c>
      <c r="B1" s="247">
        <v>2870</v>
      </c>
      <c r="C1" s="248"/>
      <c r="D1" s="247">
        <v>2870</v>
      </c>
      <c r="E1" s="248"/>
      <c r="F1" s="247">
        <v>2870</v>
      </c>
      <c r="G1" s="249" t="s">
        <v>449</v>
      </c>
      <c r="H1" s="249" t="s">
        <v>450</v>
      </c>
      <c r="I1" s="249" t="s">
        <v>450</v>
      </c>
      <c r="J1" s="249" t="s">
        <v>449</v>
      </c>
      <c r="K1" s="249" t="s">
        <v>450</v>
      </c>
      <c r="L1" s="249" t="s">
        <v>449</v>
      </c>
      <c r="M1" s="249" t="s">
        <v>449</v>
      </c>
      <c r="N1" s="249" t="s">
        <v>449</v>
      </c>
      <c r="O1" s="249" t="s">
        <v>450</v>
      </c>
      <c r="P1" s="10" t="s">
        <v>451</v>
      </c>
    </row>
    <row r="2" spans="1:23" ht="12.75" customHeight="1">
      <c r="A2" s="10" t="s">
        <v>452</v>
      </c>
      <c r="B2" s="10" t="s">
        <v>453</v>
      </c>
      <c r="C2" s="10" t="s">
        <v>454</v>
      </c>
      <c r="D2" s="10" t="s">
        <v>455</v>
      </c>
      <c r="E2" s="10" t="s">
        <v>456</v>
      </c>
      <c r="F2" s="10" t="s">
        <v>457</v>
      </c>
      <c r="G2" s="10" t="s">
        <v>458</v>
      </c>
      <c r="H2" s="10" t="s">
        <v>459</v>
      </c>
      <c r="I2" s="10" t="s">
        <v>460</v>
      </c>
      <c r="J2" s="10" t="s">
        <v>461</v>
      </c>
      <c r="K2" s="10" t="s">
        <v>462</v>
      </c>
      <c r="L2" s="10" t="s">
        <v>463</v>
      </c>
      <c r="M2" s="10" t="s">
        <v>464</v>
      </c>
      <c r="N2" s="10" t="s">
        <v>465</v>
      </c>
      <c r="O2" s="10" t="s">
        <v>466</v>
      </c>
      <c r="P2" s="10" t="s">
        <v>467</v>
      </c>
    </row>
    <row r="3" spans="1:23" ht="12.75" customHeight="1">
      <c r="A3" s="10">
        <v>0.1</v>
      </c>
    </row>
    <row r="4" spans="1:23" ht="12.75" customHeight="1">
      <c r="A4" s="10">
        <v>1</v>
      </c>
      <c r="B4" s="10">
        <v>-51.85</v>
      </c>
      <c r="E4" s="10">
        <v>-35</v>
      </c>
      <c r="G4" s="10">
        <v>-50</v>
      </c>
      <c r="J4" s="10">
        <v>-45</v>
      </c>
      <c r="K4" s="10">
        <v>-43</v>
      </c>
      <c r="M4" s="10">
        <v>-40</v>
      </c>
      <c r="N4" s="10">
        <v>-38</v>
      </c>
    </row>
    <row r="5" spans="1:23" ht="12.75" customHeight="1">
      <c r="A5" s="10">
        <v>10</v>
      </c>
      <c r="B5" s="10">
        <v>-84.4</v>
      </c>
      <c r="D5" s="10">
        <v>-75</v>
      </c>
      <c r="E5" s="10">
        <v>-74</v>
      </c>
      <c r="F5" s="10">
        <v>-71.5</v>
      </c>
      <c r="G5" s="10">
        <v>-89</v>
      </c>
      <c r="J5" s="10">
        <v>-86</v>
      </c>
      <c r="K5" s="10">
        <v>-85</v>
      </c>
      <c r="M5" s="10">
        <v>-83</v>
      </c>
      <c r="N5" s="231">
        <v>-74</v>
      </c>
      <c r="P5" s="10">
        <v>-80</v>
      </c>
    </row>
    <row r="6" spans="1:23" ht="12.75" customHeight="1">
      <c r="A6" s="10">
        <v>100</v>
      </c>
      <c r="B6" s="10">
        <v>-112.18</v>
      </c>
      <c r="D6" s="10">
        <v>-104</v>
      </c>
      <c r="E6" s="10">
        <v>-104</v>
      </c>
      <c r="F6" s="10">
        <v>-100.5</v>
      </c>
      <c r="G6" s="10">
        <v>-114</v>
      </c>
      <c r="J6" s="10">
        <v>-111</v>
      </c>
      <c r="K6" s="10">
        <v>-112</v>
      </c>
      <c r="M6" s="10">
        <v>-110</v>
      </c>
      <c r="N6" s="231">
        <v>-106</v>
      </c>
      <c r="P6" s="10">
        <v>-110</v>
      </c>
    </row>
    <row r="7" spans="1:23" ht="12.75" customHeight="1">
      <c r="A7" s="10">
        <v>1000</v>
      </c>
      <c r="B7" s="10">
        <v>-135.54</v>
      </c>
      <c r="D7" s="10">
        <v>-130</v>
      </c>
      <c r="E7" s="10">
        <v>-132</v>
      </c>
      <c r="F7" s="10">
        <v>-128</v>
      </c>
      <c r="G7" s="10">
        <v>-134</v>
      </c>
      <c r="J7" s="10">
        <v>-134</v>
      </c>
      <c r="K7" s="10">
        <v>-135</v>
      </c>
      <c r="M7" s="10">
        <v>-132</v>
      </c>
      <c r="N7" s="10">
        <v>-132</v>
      </c>
      <c r="P7" s="10">
        <v>-135</v>
      </c>
    </row>
    <row r="8" spans="1:23" ht="12.75" customHeight="1">
      <c r="A8" s="10">
        <v>5000</v>
      </c>
      <c r="B8" s="10">
        <v>-149</v>
      </c>
      <c r="D8" s="10">
        <v>-145.5</v>
      </c>
      <c r="F8" s="10">
        <v>-143.5</v>
      </c>
      <c r="G8" s="10">
        <v>-148</v>
      </c>
      <c r="J8" s="10">
        <v>-145</v>
      </c>
      <c r="M8" s="10">
        <v>-145</v>
      </c>
      <c r="P8" s="10">
        <v>-155</v>
      </c>
    </row>
    <row r="9" spans="1:23" ht="12.75" customHeight="1">
      <c r="A9" s="10">
        <v>10000</v>
      </c>
      <c r="B9" s="10">
        <v>-154.53</v>
      </c>
      <c r="E9" s="10">
        <v>-152</v>
      </c>
      <c r="G9" s="10">
        <v>-150</v>
      </c>
      <c r="J9" s="10">
        <v>-150</v>
      </c>
      <c r="K9" s="10">
        <v>-150</v>
      </c>
      <c r="M9" s="10">
        <v>-150</v>
      </c>
      <c r="N9" s="10">
        <v>-149</v>
      </c>
    </row>
    <row r="12" spans="1:23" ht="12.75" customHeight="1">
      <c r="T12" s="250" t="s">
        <v>38</v>
      </c>
      <c r="U12" s="251" t="s">
        <v>196</v>
      </c>
      <c r="V12" s="12" t="s">
        <v>197</v>
      </c>
      <c r="W12" s="7"/>
    </row>
    <row r="13" spans="1:23" ht="12.75" customHeight="1">
      <c r="B13" s="81" t="s">
        <v>468</v>
      </c>
      <c r="D13" s="81" t="s">
        <v>469</v>
      </c>
      <c r="M13" s="11"/>
      <c r="N13" s="11"/>
      <c r="O13" s="81">
        <v>2</v>
      </c>
      <c r="P13" s="81">
        <v>3</v>
      </c>
      <c r="Q13" s="81">
        <v>4</v>
      </c>
      <c r="R13" s="81">
        <v>5</v>
      </c>
      <c r="S13" s="81">
        <v>6</v>
      </c>
      <c r="T13" s="252">
        <v>7</v>
      </c>
      <c r="U13" s="252">
        <v>8</v>
      </c>
      <c r="V13" s="81">
        <v>9</v>
      </c>
    </row>
    <row r="14" spans="1:23" ht="54">
      <c r="A14" s="253" t="s">
        <v>429</v>
      </c>
      <c r="B14" s="254">
        <f>B15+20</f>
        <v>-21</v>
      </c>
      <c r="C14" s="44"/>
      <c r="D14" s="134">
        <f>B14</f>
        <v>-21</v>
      </c>
      <c r="E14" s="7"/>
      <c r="L14" s="9"/>
      <c r="M14" s="255" t="s">
        <v>470</v>
      </c>
      <c r="N14" s="254" t="str">
        <f>'Top Level'!A7</f>
        <v>cro8000</v>
      </c>
      <c r="O14" s="254">
        <f>VLOOKUP(N14,N16:S25,2,0)</f>
        <v>8</v>
      </c>
      <c r="P14" s="254">
        <f>VLOOKUP(N14,N16:S25,3,0)</f>
        <v>-71</v>
      </c>
      <c r="Q14" s="254">
        <f>VLOOKUP(N14,N16:S25,4,0)</f>
        <v>-99.5</v>
      </c>
      <c r="R14" s="254">
        <f>VLOOKUP(N14,N16:S25,5,0)</f>
        <v>-123.4</v>
      </c>
      <c r="S14" s="254">
        <f t="shared" ref="S14:V14" si="0">VLOOKUP($N$14,$N$16:$V$25,S13,0)</f>
        <v>-144</v>
      </c>
      <c r="T14" s="254">
        <f t="shared" si="0"/>
        <v>42</v>
      </c>
      <c r="U14" s="254">
        <f t="shared" si="0"/>
        <v>7890</v>
      </c>
      <c r="V14" s="254">
        <f t="shared" si="0"/>
        <v>8010</v>
      </c>
      <c r="W14" s="256" t="s">
        <v>471</v>
      </c>
    </row>
    <row r="15" spans="1:23" ht="12.75" customHeight="1">
      <c r="A15" s="253" t="s">
        <v>430</v>
      </c>
      <c r="B15" s="257">
        <f>B39</f>
        <v>-41</v>
      </c>
      <c r="C15" s="44"/>
      <c r="D15" s="246">
        <f>B39</f>
        <v>-41</v>
      </c>
      <c r="E15" s="7"/>
      <c r="M15" s="5"/>
      <c r="N15" s="5"/>
      <c r="O15" s="5"/>
      <c r="P15" s="258" t="s">
        <v>472</v>
      </c>
      <c r="Q15" s="5"/>
      <c r="R15" s="5"/>
      <c r="S15" s="5"/>
      <c r="T15" s="5"/>
      <c r="U15" s="5"/>
      <c r="V15" s="5"/>
    </row>
    <row r="16" spans="1:23" ht="12.75" customHeight="1">
      <c r="A16" s="253" t="s">
        <v>439</v>
      </c>
      <c r="B16" s="246"/>
      <c r="C16" s="44"/>
      <c r="D16" s="246">
        <f>D15-12*(D15-D17)/20</f>
        <v>-59</v>
      </c>
      <c r="E16" s="7"/>
      <c r="N16" s="81" t="s">
        <v>225</v>
      </c>
      <c r="O16" s="81" t="s">
        <v>428</v>
      </c>
      <c r="P16" s="81">
        <v>1</v>
      </c>
      <c r="Q16" s="81">
        <v>10</v>
      </c>
      <c r="R16" s="81">
        <v>100</v>
      </c>
      <c r="S16" s="81">
        <v>1000</v>
      </c>
      <c r="T16" s="250" t="s">
        <v>38</v>
      </c>
      <c r="U16" s="251" t="s">
        <v>196</v>
      </c>
      <c r="V16" s="250" t="s">
        <v>197</v>
      </c>
      <c r="W16" s="7"/>
    </row>
    <row r="17" spans="1:23" ht="12.75" customHeight="1">
      <c r="A17" s="253" t="s">
        <v>431</v>
      </c>
      <c r="B17" s="257">
        <f>C39</f>
        <v>-71</v>
      </c>
      <c r="C17" s="44"/>
      <c r="D17" s="246">
        <f>C39</f>
        <v>-71</v>
      </c>
      <c r="E17" s="7"/>
      <c r="M17" s="9"/>
      <c r="N17" s="240" t="str">
        <f t="array" ref="N17">CONCATENATE("")</f>
        <v/>
      </c>
      <c r="O17" s="104">
        <v>0</v>
      </c>
      <c r="P17" s="240" t="e">
        <f t="shared" ref="P17:S17" si="1">B37-""</f>
        <v>#VALUE!</v>
      </c>
      <c r="Q17" s="240" t="e">
        <f t="shared" si="1"/>
        <v>#VALUE!</v>
      </c>
      <c r="R17" s="240" t="e">
        <f t="shared" si="1"/>
        <v>#VALUE!</v>
      </c>
      <c r="S17" s="240" t="e">
        <f t="shared" si="1"/>
        <v>#VALUE!</v>
      </c>
      <c r="T17" s="259">
        <v>100</v>
      </c>
      <c r="U17" s="260"/>
      <c r="V17" s="260"/>
      <c r="W17" s="239" t="s">
        <v>473</v>
      </c>
    </row>
    <row r="18" spans="1:23" ht="12.75" customHeight="1">
      <c r="A18" s="253" t="s">
        <v>440</v>
      </c>
      <c r="B18" s="246"/>
      <c r="C18" s="44"/>
      <c r="D18" s="246">
        <f>D17-6*(D17-D21)/20</f>
        <v>-77</v>
      </c>
      <c r="E18" s="7"/>
      <c r="M18" s="9"/>
      <c r="N18" s="260"/>
      <c r="O18" s="104">
        <v>1</v>
      </c>
      <c r="P18" s="260"/>
      <c r="Q18" s="260"/>
      <c r="R18" s="260"/>
      <c r="S18" s="260"/>
      <c r="T18" s="260"/>
      <c r="U18" s="260"/>
      <c r="V18" s="260"/>
      <c r="W18" s="7"/>
    </row>
    <row r="19" spans="1:23" ht="12.75" customHeight="1">
      <c r="A19" s="253" t="s">
        <v>441</v>
      </c>
      <c r="B19" s="246"/>
      <c r="C19" s="44"/>
      <c r="D19" s="246">
        <f>D17-12*(D17-D21)/20</f>
        <v>-83</v>
      </c>
      <c r="E19" s="7"/>
      <c r="M19" s="9"/>
      <c r="N19" s="260"/>
      <c r="O19" s="104">
        <v>2</v>
      </c>
      <c r="P19" s="260"/>
      <c r="Q19" s="260"/>
      <c r="R19" s="260"/>
      <c r="S19" s="260"/>
      <c r="T19" s="260"/>
      <c r="U19" s="260"/>
      <c r="V19" s="260"/>
      <c r="W19" s="7"/>
    </row>
    <row r="20" spans="1:23" ht="12.75" customHeight="1">
      <c r="A20" s="253" t="s">
        <v>442</v>
      </c>
      <c r="B20" s="246"/>
      <c r="C20" s="44"/>
      <c r="D20" s="246">
        <f>D17-18*(D17-D21)/20</f>
        <v>-89</v>
      </c>
      <c r="E20" s="7"/>
      <c r="M20" s="9"/>
      <c r="N20" s="134" t="str">
        <f>'Noise model input'!A16</f>
        <v>V940ME28</v>
      </c>
      <c r="O20" s="104">
        <v>3</v>
      </c>
      <c r="P20" s="134">
        <f>'Noise model input'!B16</f>
        <v>-62.8</v>
      </c>
      <c r="Q20" s="134">
        <f>'Noise model input'!C16</f>
        <v>-89</v>
      </c>
      <c r="R20" s="134">
        <f>'Noise model input'!D16</f>
        <v>-110.9</v>
      </c>
      <c r="S20" s="134">
        <f>'Noise model input'!E16</f>
        <v>-130.9</v>
      </c>
      <c r="T20" s="134">
        <f>'Noise model input'!F16</f>
        <v>85</v>
      </c>
      <c r="U20" s="134">
        <f>'Noise model input'!G16</f>
        <v>5850</v>
      </c>
      <c r="V20" s="134">
        <f>'Noise model input'!H16</f>
        <v>6040</v>
      </c>
      <c r="W20" s="476"/>
    </row>
    <row r="21" spans="1:23" ht="12.75" customHeight="1">
      <c r="A21" s="253" t="s">
        <v>432</v>
      </c>
      <c r="B21" s="257">
        <f>D39</f>
        <v>-91</v>
      </c>
      <c r="C21" s="44"/>
      <c r="D21" s="246">
        <f>D39</f>
        <v>-91</v>
      </c>
      <c r="E21" s="7"/>
      <c r="M21" s="9"/>
      <c r="N21" s="134" t="str">
        <f>'Noise model input'!A17</f>
        <v>DXO11751220</v>
      </c>
      <c r="O21" s="104">
        <v>4</v>
      </c>
      <c r="P21" s="134">
        <f>'Noise model input'!B17</f>
        <v>-42</v>
      </c>
      <c r="Q21" s="134">
        <f>'Noise model input'!C17</f>
        <v>-80</v>
      </c>
      <c r="R21" s="134">
        <f>'Noise model input'!D17</f>
        <v>-105</v>
      </c>
      <c r="S21" s="134">
        <f>'Noise model input'!E17</f>
        <v>-130</v>
      </c>
      <c r="T21" s="134">
        <f>'Noise model input'!F17</f>
        <v>60</v>
      </c>
      <c r="U21" s="134">
        <f>'Noise model input'!G17</f>
        <v>11750</v>
      </c>
      <c r="V21" s="134">
        <f>'Noise model input'!H17</f>
        <v>12200</v>
      </c>
      <c r="W21" s="477"/>
    </row>
    <row r="22" spans="1:23" ht="12.75" customHeight="1">
      <c r="A22" s="253" t="s">
        <v>443</v>
      </c>
      <c r="B22" s="246"/>
      <c r="C22" s="44"/>
      <c r="D22" s="246">
        <f>D21-6*(D21-D24)/20</f>
        <v>-97</v>
      </c>
      <c r="E22" s="7"/>
      <c r="M22" s="9"/>
      <c r="N22" s="134" t="str">
        <f>'Noise model input'!A18</f>
        <v>umx806</v>
      </c>
      <c r="O22" s="104">
        <v>5</v>
      </c>
      <c r="P22" s="134">
        <f>'Noise model input'!B18</f>
        <v>-88</v>
      </c>
      <c r="Q22" s="134">
        <f>'Noise model input'!C18</f>
        <v>-111</v>
      </c>
      <c r="R22" s="134">
        <f>'Noise model input'!D18</f>
        <v>-136</v>
      </c>
      <c r="S22" s="134">
        <f>'Noise model input'!E18</f>
        <v>-156</v>
      </c>
      <c r="T22" s="134">
        <f>'Noise model input'!F18</f>
        <v>6.5</v>
      </c>
      <c r="U22" s="134">
        <f>'Noise model input'!G18</f>
        <v>3900</v>
      </c>
      <c r="V22" s="134">
        <f>'Noise model input'!H18</f>
        <v>4100</v>
      </c>
      <c r="W22" s="7"/>
    </row>
    <row r="23" spans="1:23" ht="12.75" customHeight="1">
      <c r="A23" s="253" t="s">
        <v>444</v>
      </c>
      <c r="B23" s="246"/>
      <c r="C23" s="44"/>
      <c r="D23" s="246">
        <f>D21-12*(D21-D24)/20</f>
        <v>-103</v>
      </c>
      <c r="E23" s="7"/>
      <c r="M23" s="9"/>
      <c r="N23" s="134" t="str">
        <f>'Noise model input'!A19</f>
        <v>ac-761</v>
      </c>
      <c r="O23" s="104">
        <v>6</v>
      </c>
      <c r="P23" s="134">
        <f>'Noise model input'!B19</f>
        <v>-90</v>
      </c>
      <c r="Q23" s="134">
        <f>'Noise model input'!C19</f>
        <v>-119</v>
      </c>
      <c r="R23" s="134">
        <f>'Noise model input'!D19</f>
        <v>-142</v>
      </c>
      <c r="S23" s="134">
        <f>'Noise model input'!E19</f>
        <v>-164</v>
      </c>
      <c r="T23" s="134">
        <f>'Noise model input'!F19</f>
        <v>0</v>
      </c>
      <c r="U23" s="134">
        <f>'Noise model input'!G19</f>
        <v>0</v>
      </c>
      <c r="V23" s="134">
        <f>'Noise model input'!H19</f>
        <v>0</v>
      </c>
      <c r="W23" s="7"/>
    </row>
    <row r="24" spans="1:23" ht="12.75" customHeight="1">
      <c r="A24" s="253" t="s">
        <v>433</v>
      </c>
      <c r="B24" s="257">
        <f>E39</f>
        <v>-111</v>
      </c>
      <c r="C24" s="44"/>
      <c r="D24" s="246">
        <f>E39</f>
        <v>-111</v>
      </c>
      <c r="E24" s="7"/>
      <c r="M24" s="9"/>
      <c r="N24" s="134" t="str">
        <f>'Noise model input'!A20</f>
        <v>cvss945</v>
      </c>
      <c r="O24" s="104">
        <v>7</v>
      </c>
      <c r="P24" s="134">
        <f>'Noise model input'!B20</f>
        <v>-154</v>
      </c>
      <c r="Q24" s="134">
        <f>'Noise model input'!C20</f>
        <v>-167</v>
      </c>
      <c r="R24" s="134">
        <f>'Noise model input'!D20</f>
        <v>-174</v>
      </c>
      <c r="S24" s="134">
        <f>'Noise model input'!E20</f>
        <v>-175</v>
      </c>
      <c r="T24" s="134">
        <f>'Noise model input'!F20</f>
        <v>1.25E-3</v>
      </c>
      <c r="U24" s="134">
        <f>'Noise model input'!G20</f>
        <v>0</v>
      </c>
      <c r="V24" s="134">
        <f>'Noise model input'!H20</f>
        <v>0</v>
      </c>
      <c r="W24" s="7"/>
    </row>
    <row r="25" spans="1:23" ht="12.75" customHeight="1">
      <c r="A25" s="12">
        <v>10000</v>
      </c>
      <c r="B25" s="261">
        <f>F39</f>
        <v>-115</v>
      </c>
      <c r="C25" s="44"/>
      <c r="D25" s="262">
        <f>B25</f>
        <v>-115</v>
      </c>
      <c r="E25" s="7"/>
      <c r="M25" s="9"/>
      <c r="N25" s="134" t="str">
        <f>'Noise model input'!A21</f>
        <v>cro8000</v>
      </c>
      <c r="O25" s="104">
        <v>8</v>
      </c>
      <c r="P25" s="134">
        <f>'Noise model input'!B21</f>
        <v>-71</v>
      </c>
      <c r="Q25" s="134">
        <f>'Noise model input'!C21</f>
        <v>-99.5</v>
      </c>
      <c r="R25" s="134">
        <f>'Noise model input'!D21</f>
        <v>-123.4</v>
      </c>
      <c r="S25" s="134">
        <f>'Noise model input'!E21</f>
        <v>-144</v>
      </c>
      <c r="T25" s="134">
        <f>'Noise model input'!F21</f>
        <v>42</v>
      </c>
      <c r="U25" s="134">
        <f>'Noise model input'!G21</f>
        <v>7890</v>
      </c>
      <c r="V25" s="134">
        <f>'Noise model input'!H21</f>
        <v>8010</v>
      </c>
      <c r="W25" s="7"/>
    </row>
    <row r="26" spans="1:23" ht="12.75" customHeight="1">
      <c r="B26" s="5"/>
      <c r="C26" s="11"/>
      <c r="D26" s="5"/>
      <c r="E26" s="11"/>
      <c r="N26" s="5"/>
      <c r="O26" s="5"/>
      <c r="P26" s="5"/>
      <c r="Q26" s="5"/>
      <c r="R26" s="5"/>
      <c r="S26" s="5"/>
      <c r="T26" s="5"/>
      <c r="U26" s="5"/>
      <c r="V26" s="5"/>
    </row>
    <row r="27" spans="1:23" ht="12.75" customHeight="1">
      <c r="A27" s="10" t="s">
        <v>428</v>
      </c>
      <c r="B27" s="10" t="s">
        <v>474</v>
      </c>
      <c r="C27" s="5"/>
      <c r="E27" s="5"/>
    </row>
    <row r="28" spans="1:23" ht="12.75" customHeight="1">
      <c r="A28" s="10" t="s">
        <v>472</v>
      </c>
      <c r="B28" s="10">
        <v>1</v>
      </c>
      <c r="C28" s="10">
        <v>10</v>
      </c>
      <c r="D28" s="10">
        <v>100</v>
      </c>
      <c r="E28" s="10">
        <v>1000</v>
      </c>
      <c r="F28" s="10">
        <v>10000</v>
      </c>
      <c r="H28" s="11"/>
      <c r="I28" s="11"/>
      <c r="J28" s="11"/>
      <c r="K28" s="11"/>
    </row>
    <row r="29" spans="1:23" ht="13.5">
      <c r="B29" s="1"/>
      <c r="C29" s="1"/>
      <c r="D29" s="1"/>
      <c r="E29" s="1"/>
      <c r="G29" s="9"/>
      <c r="H29" s="263">
        <v>100</v>
      </c>
      <c r="I29" s="263">
        <v>-104.96</v>
      </c>
      <c r="J29" s="263">
        <v>400</v>
      </c>
      <c r="K29" s="264">
        <f>I29+20*LOG10(J29/H29)*((I30-I29)/(20*LOG10(H30/H29)))</f>
        <v>-120.04762338267874</v>
      </c>
      <c r="L29" s="7"/>
    </row>
    <row r="30" spans="1:23" ht="13.5">
      <c r="B30" s="1"/>
      <c r="C30" s="1"/>
      <c r="D30" s="1"/>
      <c r="E30" s="1"/>
      <c r="G30" s="9"/>
      <c r="H30" s="263">
        <v>1000</v>
      </c>
      <c r="I30" s="263">
        <v>-130.02000000000001</v>
      </c>
      <c r="J30" s="265"/>
      <c r="K30" s="266"/>
      <c r="L30" s="7"/>
    </row>
    <row r="31" spans="1:23" ht="12.75" customHeight="1">
      <c r="B31" s="1"/>
      <c r="C31" s="1"/>
      <c r="D31" s="1"/>
      <c r="E31" s="1"/>
      <c r="H31" s="5"/>
      <c r="I31" s="5"/>
      <c r="J31" s="5"/>
      <c r="K31" s="5"/>
    </row>
    <row r="32" spans="1:23" ht="18">
      <c r="B32" s="1"/>
      <c r="C32" s="1"/>
      <c r="D32" s="1"/>
      <c r="E32" s="1"/>
      <c r="G32" s="10" t="s">
        <v>475</v>
      </c>
      <c r="H32" s="267">
        <f>'Top Level'!AB30</f>
        <v>0</v>
      </c>
      <c r="I32" s="10" t="s">
        <v>476</v>
      </c>
    </row>
    <row r="33" spans="1:42" ht="12.75" customHeight="1">
      <c r="A33" s="10" t="s">
        <v>393</v>
      </c>
      <c r="B33" s="86" t="str">
        <f>B36</f>
        <v>1575</v>
      </c>
      <c r="C33" s="86" t="str">
        <f>B33</f>
        <v>1575</v>
      </c>
      <c r="D33" s="86" t="str">
        <f>B33</f>
        <v>1575</v>
      </c>
      <c r="E33" s="86" t="str">
        <f>D33</f>
        <v>1575</v>
      </c>
    </row>
    <row r="34" spans="1:42" ht="12.75" customHeight="1">
      <c r="G34" s="1"/>
      <c r="H34" s="1"/>
      <c r="I34" s="1"/>
      <c r="J34" s="1"/>
    </row>
    <row r="35" spans="1:42" ht="12.75" customHeight="1">
      <c r="B35" s="10" t="s">
        <v>477</v>
      </c>
      <c r="G35" s="1"/>
      <c r="H35" s="1"/>
      <c r="I35" s="1"/>
      <c r="J35" s="1"/>
    </row>
    <row r="36" spans="1:42" ht="12.75" customHeight="1">
      <c r="A36" s="10" t="s">
        <v>478</v>
      </c>
      <c r="B36" s="86" t="s">
        <v>616</v>
      </c>
      <c r="G36" s="478" t="s">
        <v>479</v>
      </c>
      <c r="H36" s="461"/>
      <c r="I36" s="461"/>
      <c r="J36" s="461"/>
    </row>
    <row r="37" spans="1:42" ht="12.75" customHeight="1">
      <c r="A37" s="10" t="s">
        <v>480</v>
      </c>
      <c r="B37" s="86">
        <f>H50</f>
        <v>-41</v>
      </c>
      <c r="C37" s="86">
        <f>H51</f>
        <v>-71</v>
      </c>
      <c r="D37" s="86">
        <f>H52</f>
        <v>-91</v>
      </c>
      <c r="E37" s="86">
        <f>H53</f>
        <v>-111</v>
      </c>
      <c r="F37" s="86">
        <f>H54</f>
        <v>-115</v>
      </c>
      <c r="G37" s="461"/>
      <c r="H37" s="461"/>
      <c r="I37" s="461"/>
      <c r="J37" s="461"/>
    </row>
    <row r="38" spans="1:42" ht="12.75" customHeight="1">
      <c r="G38" s="1"/>
      <c r="H38" s="1"/>
      <c r="I38" s="1"/>
      <c r="J38" s="1"/>
    </row>
    <row r="39" spans="1:42" ht="12.75" customHeight="1">
      <c r="A39" s="268" t="s">
        <v>481</v>
      </c>
      <c r="B39" s="215">
        <f>IF(B41=1,B37+$H$32,P14+$H$32)</f>
        <v>-41</v>
      </c>
      <c r="C39" s="215">
        <f>IF(B41=1,C37+$H$32,Q14+$H$32)</f>
        <v>-71</v>
      </c>
      <c r="D39" s="215">
        <f>IF(B41=1,D37+$H$32,R14+$H$32)</f>
        <v>-91</v>
      </c>
      <c r="E39" s="215">
        <f>IF(B41=1,E37+$H$32,S14+$H$32)</f>
        <v>-111</v>
      </c>
      <c r="F39" s="215">
        <f>IF(B41=1,F37+$H$32,T14+$H$32)</f>
        <v>-115</v>
      </c>
      <c r="G39" s="478"/>
      <c r="H39" s="461"/>
      <c r="I39" s="461"/>
      <c r="J39" s="461"/>
    </row>
    <row r="41" spans="1:42" ht="12.75" customHeight="1">
      <c r="A41" s="239" t="s">
        <v>482</v>
      </c>
      <c r="B41" s="269">
        <f>Inputs!AB4</f>
        <v>1</v>
      </c>
    </row>
    <row r="42" spans="1:42" ht="12.75" customHeight="1">
      <c r="B42" s="5"/>
    </row>
    <row r="46" spans="1:42">
      <c r="J46" s="10" t="s">
        <v>98</v>
      </c>
    </row>
    <row r="47" spans="1:42">
      <c r="A47" s="86" t="str">
        <f>'Top Level'!B1</f>
        <v>MAX2771_hi</v>
      </c>
      <c r="G47" s="9"/>
      <c r="H47" s="44"/>
      <c r="I47" s="239" t="s">
        <v>237</v>
      </c>
      <c r="J47" s="86">
        <f>IF($A47=I47,1,0)</f>
        <v>0</v>
      </c>
      <c r="M47" s="9"/>
      <c r="N47" s="239" t="s">
        <v>239</v>
      </c>
      <c r="O47" s="86">
        <f>IF($A47=N47,1,0)</f>
        <v>0</v>
      </c>
      <c r="R47" s="9"/>
      <c r="S47" s="239" t="s">
        <v>241</v>
      </c>
      <c r="T47" s="86">
        <f>IF($A47=S47,1,0)</f>
        <v>0</v>
      </c>
      <c r="W47" s="9"/>
      <c r="X47" s="239" t="s">
        <v>242</v>
      </c>
      <c r="Y47" s="86">
        <f>IF($A47=X47,1,0)</f>
        <v>0</v>
      </c>
      <c r="AB47" s="9"/>
      <c r="AC47" s="270" t="s">
        <v>1</v>
      </c>
      <c r="AD47" s="86">
        <f>IF($A47=AC47,1,0)</f>
        <v>0</v>
      </c>
      <c r="AH47" s="433" t="s">
        <v>620</v>
      </c>
      <c r="AI47" s="431">
        <f>IF($A47=AH47,1,0)</f>
        <v>1</v>
      </c>
      <c r="AJ47" s="432"/>
      <c r="AK47" s="432"/>
      <c r="AM47" s="440" t="s">
        <v>621</v>
      </c>
      <c r="AN47" s="438">
        <f>IF($A47=AM47,1,0)</f>
        <v>0</v>
      </c>
      <c r="AO47" s="439"/>
      <c r="AP47" s="439"/>
    </row>
    <row r="48" spans="1:42" ht="13.5">
      <c r="A48" s="10" t="s">
        <v>428</v>
      </c>
      <c r="B48" s="10">
        <v>1</v>
      </c>
      <c r="C48" s="10">
        <v>2</v>
      </c>
      <c r="D48" s="10">
        <v>3</v>
      </c>
      <c r="F48" s="271">
        <f>H48</f>
        <v>2</v>
      </c>
      <c r="G48" s="271">
        <f>1+F48</f>
        <v>3</v>
      </c>
      <c r="H48" s="271">
        <f>IF(H49&lt;C49,1,IF(H49&lt;D49,2,2))</f>
        <v>2</v>
      </c>
      <c r="I48" s="438" t="s">
        <v>452</v>
      </c>
      <c r="J48" s="268">
        <v>3000</v>
      </c>
      <c r="K48" s="268">
        <v>4500</v>
      </c>
      <c r="L48" s="268">
        <v>6000</v>
      </c>
      <c r="N48" s="10" t="s">
        <v>452</v>
      </c>
      <c r="O48" s="268">
        <v>3000</v>
      </c>
      <c r="P48" s="268">
        <v>4500</v>
      </c>
      <c r="Q48" s="268">
        <v>6000</v>
      </c>
      <c r="S48" s="10" t="s">
        <v>452</v>
      </c>
      <c r="T48" s="272">
        <v>1500</v>
      </c>
      <c r="U48" s="272">
        <v>2000</v>
      </c>
      <c r="V48" s="272">
        <v>3000</v>
      </c>
      <c r="X48" s="10" t="s">
        <v>452</v>
      </c>
      <c r="Y48" s="268">
        <v>3400</v>
      </c>
      <c r="Z48" s="268">
        <v>5000</v>
      </c>
      <c r="AA48" s="268">
        <v>6800</v>
      </c>
      <c r="AC48" s="10" t="s">
        <v>452</v>
      </c>
      <c r="AD48" s="273">
        <v>1550</v>
      </c>
      <c r="AE48" s="273">
        <v>1575</v>
      </c>
      <c r="AF48" s="273">
        <v>1610</v>
      </c>
      <c r="AH48" s="431" t="s">
        <v>452</v>
      </c>
      <c r="AI48" s="273">
        <v>1525</v>
      </c>
      <c r="AJ48" s="273">
        <v>1575</v>
      </c>
      <c r="AK48" s="273">
        <v>1610</v>
      </c>
      <c r="AM48" s="438" t="s">
        <v>452</v>
      </c>
      <c r="AN48" s="273">
        <v>1160</v>
      </c>
      <c r="AO48" s="273">
        <v>1228</v>
      </c>
      <c r="AP48" s="273">
        <v>1290</v>
      </c>
    </row>
    <row r="49" spans="1:42" ht="13.5">
      <c r="B49" s="86">
        <f t="shared" ref="B49:D54" si="2">J55+O55+T55+Y55+AD55+AI55+AN55</f>
        <v>1525</v>
      </c>
      <c r="C49" s="86">
        <f t="shared" si="2"/>
        <v>1575</v>
      </c>
      <c r="D49" s="86">
        <f t="shared" si="2"/>
        <v>1610</v>
      </c>
      <c r="E49" s="10">
        <v>2</v>
      </c>
      <c r="F49" s="271">
        <f t="shared" ref="F49:F54" si="3">HLOOKUP(F$48,B$48:D54,E49)</f>
        <v>1575</v>
      </c>
      <c r="G49" s="271">
        <f t="shared" ref="G49:G54" si="4">HLOOKUP(G$48,B$48:D54,E49)</f>
        <v>1610</v>
      </c>
      <c r="H49" s="274">
        <f>'Top Level'!J12</f>
        <v>1575</v>
      </c>
      <c r="I49" s="10">
        <v>1</v>
      </c>
      <c r="J49" s="268">
        <v>-54</v>
      </c>
      <c r="K49" s="268">
        <v>-45</v>
      </c>
      <c r="L49" s="268">
        <v>-35</v>
      </c>
      <c r="N49" s="10">
        <v>1</v>
      </c>
      <c r="O49" s="268">
        <v>-55</v>
      </c>
      <c r="P49" s="268">
        <v>-48</v>
      </c>
      <c r="Q49" s="268">
        <v>-43</v>
      </c>
      <c r="S49" s="10">
        <v>1</v>
      </c>
      <c r="T49" s="272">
        <v>-56.569153919999998</v>
      </c>
      <c r="U49" s="272">
        <v>-57.726151029999997</v>
      </c>
      <c r="V49" s="272">
        <v>-51.032756429999999</v>
      </c>
      <c r="X49" s="10">
        <v>1</v>
      </c>
      <c r="Y49" s="268">
        <v>-65</v>
      </c>
      <c r="Z49" s="268">
        <v>-60</v>
      </c>
      <c r="AA49" s="268">
        <v>-55</v>
      </c>
      <c r="AC49" s="10">
        <v>1</v>
      </c>
      <c r="AD49" s="273">
        <v>-52</v>
      </c>
      <c r="AE49" s="273">
        <v>-52</v>
      </c>
      <c r="AF49" s="273">
        <v>-52</v>
      </c>
      <c r="AH49" s="431">
        <v>1</v>
      </c>
      <c r="AI49" s="273">
        <v>-41</v>
      </c>
      <c r="AJ49" s="273">
        <v>-41</v>
      </c>
      <c r="AK49" s="273">
        <v>-41</v>
      </c>
      <c r="AM49" s="438">
        <v>1</v>
      </c>
      <c r="AN49" s="273">
        <v>-44</v>
      </c>
      <c r="AO49" s="273">
        <v>-44</v>
      </c>
      <c r="AP49" s="273">
        <v>-44</v>
      </c>
    </row>
    <row r="50" spans="1:42" ht="13.5">
      <c r="A50" s="86">
        <f t="shared" ref="A50:A54" si="5">I49</f>
        <v>1</v>
      </c>
      <c r="B50" s="86">
        <f t="shared" si="2"/>
        <v>-41</v>
      </c>
      <c r="C50" s="86">
        <f t="shared" si="2"/>
        <v>-41</v>
      </c>
      <c r="D50" s="86">
        <f t="shared" si="2"/>
        <v>-41</v>
      </c>
      <c r="E50" s="10">
        <v>3</v>
      </c>
      <c r="F50" s="271">
        <f t="shared" si="3"/>
        <v>-41</v>
      </c>
      <c r="G50" s="271">
        <f t="shared" si="4"/>
        <v>-41</v>
      </c>
      <c r="H50" s="275">
        <f t="shared" ref="H50:H54" si="6">F50+20*LOG10(H$49/F$49)*((G50-F50)/(20*LOG10(G$49/F$49)))</f>
        <v>-41</v>
      </c>
      <c r="I50" s="10">
        <v>10</v>
      </c>
      <c r="J50" s="268">
        <v>-83.5</v>
      </c>
      <c r="K50" s="268">
        <v>-75</v>
      </c>
      <c r="L50" s="268">
        <v>-71.5</v>
      </c>
      <c r="N50" s="10">
        <v>10</v>
      </c>
      <c r="O50" s="268">
        <v>-83</v>
      </c>
      <c r="P50" s="268">
        <v>-77</v>
      </c>
      <c r="Q50" s="268">
        <v>-71</v>
      </c>
      <c r="S50" s="10">
        <v>10</v>
      </c>
      <c r="T50" s="272">
        <v>-86.338822570000005</v>
      </c>
      <c r="U50" s="272">
        <v>-88.756259959999994</v>
      </c>
      <c r="V50" s="272">
        <v>-80.249728509999997</v>
      </c>
      <c r="X50" s="10">
        <v>10</v>
      </c>
      <c r="Y50" s="268">
        <v>-92.5</v>
      </c>
      <c r="Z50" s="268">
        <v>-87</v>
      </c>
      <c r="AA50" s="268">
        <v>-82</v>
      </c>
      <c r="AC50" s="10">
        <v>10</v>
      </c>
      <c r="AD50" s="273">
        <v>-79</v>
      </c>
      <c r="AE50" s="273">
        <v>-79</v>
      </c>
      <c r="AF50" s="273">
        <v>-79</v>
      </c>
      <c r="AH50" s="431">
        <v>10</v>
      </c>
      <c r="AI50" s="273">
        <v>-71</v>
      </c>
      <c r="AJ50" s="273">
        <v>-71</v>
      </c>
      <c r="AK50" s="273">
        <v>-71</v>
      </c>
      <c r="AM50" s="438">
        <v>10</v>
      </c>
      <c r="AN50" s="273">
        <v>-74</v>
      </c>
      <c r="AO50" s="273">
        <v>-74</v>
      </c>
      <c r="AP50" s="273">
        <v>-74</v>
      </c>
    </row>
    <row r="51" spans="1:42" ht="13.5">
      <c r="A51" s="86">
        <f t="shared" si="5"/>
        <v>10</v>
      </c>
      <c r="B51" s="86">
        <f t="shared" si="2"/>
        <v>-71</v>
      </c>
      <c r="C51" s="86">
        <f t="shared" si="2"/>
        <v>-71</v>
      </c>
      <c r="D51" s="86">
        <f t="shared" si="2"/>
        <v>-71</v>
      </c>
      <c r="E51" s="10">
        <v>4</v>
      </c>
      <c r="F51" s="271">
        <f t="shared" si="3"/>
        <v>-71</v>
      </c>
      <c r="G51" s="271">
        <f t="shared" si="4"/>
        <v>-71</v>
      </c>
      <c r="H51" s="275">
        <f t="shared" si="6"/>
        <v>-71</v>
      </c>
      <c r="I51" s="10">
        <v>100</v>
      </c>
      <c r="J51" s="268">
        <v>-111</v>
      </c>
      <c r="K51" s="268">
        <v>-104</v>
      </c>
      <c r="L51" s="268">
        <v>-100.5</v>
      </c>
      <c r="N51" s="10">
        <v>100</v>
      </c>
      <c r="O51" s="268">
        <v>-111</v>
      </c>
      <c r="P51" s="268">
        <v>-106</v>
      </c>
      <c r="Q51" s="268">
        <v>-101</v>
      </c>
      <c r="S51" s="10">
        <v>100</v>
      </c>
      <c r="T51" s="272">
        <v>-115.28573729999999</v>
      </c>
      <c r="U51" s="272">
        <v>-116.550898</v>
      </c>
      <c r="V51" s="272">
        <v>-109.7037485</v>
      </c>
      <c r="X51" s="10">
        <v>100</v>
      </c>
      <c r="Y51" s="268">
        <v>-116</v>
      </c>
      <c r="Z51" s="268">
        <v>-113</v>
      </c>
      <c r="AA51" s="268">
        <v>-110</v>
      </c>
      <c r="AC51" s="10">
        <v>100</v>
      </c>
      <c r="AD51" s="273">
        <v>-100</v>
      </c>
      <c r="AE51" s="273">
        <v>-100</v>
      </c>
      <c r="AF51" s="273">
        <v>-100</v>
      </c>
      <c r="AH51" s="431">
        <v>100</v>
      </c>
      <c r="AI51" s="273">
        <v>-91</v>
      </c>
      <c r="AJ51" s="273">
        <v>-91</v>
      </c>
      <c r="AK51" s="273">
        <v>-91</v>
      </c>
      <c r="AM51" s="438">
        <v>100</v>
      </c>
      <c r="AN51" s="273">
        <v>-94</v>
      </c>
      <c r="AO51" s="273">
        <v>-94</v>
      </c>
      <c r="AP51" s="273">
        <v>-94</v>
      </c>
    </row>
    <row r="52" spans="1:42" ht="13.5">
      <c r="A52" s="86">
        <f t="shared" si="5"/>
        <v>100</v>
      </c>
      <c r="B52" s="86">
        <f t="shared" si="2"/>
        <v>-91</v>
      </c>
      <c r="C52" s="86">
        <f t="shared" si="2"/>
        <v>-91</v>
      </c>
      <c r="D52" s="86">
        <f t="shared" si="2"/>
        <v>-91</v>
      </c>
      <c r="E52" s="10">
        <v>5</v>
      </c>
      <c r="F52" s="271">
        <f t="shared" si="3"/>
        <v>-91</v>
      </c>
      <c r="G52" s="271">
        <f t="shared" si="4"/>
        <v>-91</v>
      </c>
      <c r="H52" s="275">
        <f t="shared" si="6"/>
        <v>-91</v>
      </c>
      <c r="I52" s="10">
        <v>1000</v>
      </c>
      <c r="J52" s="268">
        <v>-136</v>
      </c>
      <c r="K52" s="268">
        <v>-130</v>
      </c>
      <c r="L52" s="268">
        <v>-128</v>
      </c>
      <c r="N52" s="10">
        <v>1000</v>
      </c>
      <c r="O52" s="268">
        <v>-136</v>
      </c>
      <c r="P52" s="268">
        <v>-132</v>
      </c>
      <c r="Q52" s="268">
        <v>-128</v>
      </c>
      <c r="S52" s="10">
        <v>1000</v>
      </c>
      <c r="T52" s="272">
        <v>-140.8097884</v>
      </c>
      <c r="U52" s="272">
        <v>-140.0327786</v>
      </c>
      <c r="V52" s="272">
        <v>-134.86102099999999</v>
      </c>
      <c r="X52" s="10">
        <v>1000</v>
      </c>
      <c r="Y52" s="268">
        <v>-138</v>
      </c>
      <c r="Z52" s="268">
        <v>-135</v>
      </c>
      <c r="AA52" s="268">
        <v>-132</v>
      </c>
      <c r="AC52" s="10">
        <v>1000</v>
      </c>
      <c r="AD52" s="273">
        <v>-118</v>
      </c>
      <c r="AE52" s="273">
        <v>-118</v>
      </c>
      <c r="AF52" s="273">
        <v>-118</v>
      </c>
      <c r="AH52" s="431">
        <v>1000</v>
      </c>
      <c r="AI52" s="273">
        <v>-111</v>
      </c>
      <c r="AJ52" s="273">
        <v>-111</v>
      </c>
      <c r="AK52" s="273">
        <v>-111</v>
      </c>
      <c r="AM52" s="438">
        <v>1000</v>
      </c>
      <c r="AN52" s="273">
        <v>-111</v>
      </c>
      <c r="AO52" s="273">
        <v>-111</v>
      </c>
      <c r="AP52" s="273">
        <v>-111</v>
      </c>
    </row>
    <row r="53" spans="1:42" ht="13.5">
      <c r="A53" s="86">
        <f t="shared" si="5"/>
        <v>1000</v>
      </c>
      <c r="B53" s="86">
        <f t="shared" si="2"/>
        <v>-111</v>
      </c>
      <c r="C53" s="86">
        <f t="shared" si="2"/>
        <v>-111</v>
      </c>
      <c r="D53" s="86">
        <f t="shared" si="2"/>
        <v>-111</v>
      </c>
      <c r="E53" s="10">
        <v>6</v>
      </c>
      <c r="F53" s="271">
        <f t="shared" si="3"/>
        <v>-111</v>
      </c>
      <c r="G53" s="271">
        <f t="shared" si="4"/>
        <v>-111</v>
      </c>
      <c r="H53" s="275">
        <f t="shared" si="6"/>
        <v>-111</v>
      </c>
      <c r="I53" s="10">
        <v>10000</v>
      </c>
      <c r="J53" s="268">
        <v>-155</v>
      </c>
      <c r="K53" s="268">
        <v>-152</v>
      </c>
      <c r="L53" s="268">
        <v>-150</v>
      </c>
      <c r="N53" s="10">
        <v>10000</v>
      </c>
      <c r="O53" s="268">
        <v>-155</v>
      </c>
      <c r="P53" s="268">
        <v>-153</v>
      </c>
      <c r="Q53" s="268">
        <v>-150</v>
      </c>
      <c r="S53" s="10">
        <v>10000</v>
      </c>
      <c r="T53" s="272">
        <v>-160.71759739999999</v>
      </c>
      <c r="U53" s="272">
        <v>-160.4185004</v>
      </c>
      <c r="V53" s="272">
        <v>-156.2734949</v>
      </c>
      <c r="X53" s="10">
        <v>10000</v>
      </c>
      <c r="Y53" s="268">
        <v>-155</v>
      </c>
      <c r="Z53" s="268">
        <v>-153</v>
      </c>
      <c r="AA53" s="268">
        <v>-150</v>
      </c>
      <c r="AC53" s="10">
        <v>10000</v>
      </c>
      <c r="AD53" s="273">
        <v>-122</v>
      </c>
      <c r="AE53" s="268">
        <v>-122</v>
      </c>
      <c r="AF53" s="268">
        <v>-122</v>
      </c>
      <c r="AH53" s="431">
        <v>10000</v>
      </c>
      <c r="AI53" s="273">
        <v>-115</v>
      </c>
      <c r="AJ53" s="273">
        <v>-115</v>
      </c>
      <c r="AK53" s="273">
        <v>-115</v>
      </c>
      <c r="AM53" s="438">
        <v>10000</v>
      </c>
      <c r="AN53" s="273">
        <v>-115</v>
      </c>
      <c r="AO53" s="273">
        <v>-115</v>
      </c>
      <c r="AP53" s="273">
        <v>-115</v>
      </c>
    </row>
    <row r="54" spans="1:42" ht="13.5">
      <c r="A54" s="86">
        <f t="shared" si="5"/>
        <v>10000</v>
      </c>
      <c r="B54" s="86">
        <f t="shared" si="2"/>
        <v>-115</v>
      </c>
      <c r="C54" s="86">
        <f t="shared" si="2"/>
        <v>-115</v>
      </c>
      <c r="D54" s="86">
        <f t="shared" si="2"/>
        <v>-115</v>
      </c>
      <c r="E54" s="10">
        <v>7</v>
      </c>
      <c r="F54" s="271">
        <f t="shared" si="3"/>
        <v>-115</v>
      </c>
      <c r="G54" s="271">
        <f t="shared" si="4"/>
        <v>-115</v>
      </c>
      <c r="H54" s="275">
        <f t="shared" si="6"/>
        <v>-115</v>
      </c>
      <c r="AH54" s="432"/>
      <c r="AI54" s="432"/>
      <c r="AJ54" s="432"/>
      <c r="AK54" s="432"/>
      <c r="AM54" s="439"/>
      <c r="AN54" s="439"/>
      <c r="AO54" s="439"/>
      <c r="AP54" s="439"/>
    </row>
    <row r="55" spans="1:42">
      <c r="J55" s="86">
        <f t="shared" ref="J55:L55" si="7">J48*$J$47</f>
        <v>0</v>
      </c>
      <c r="K55" s="86">
        <f t="shared" si="7"/>
        <v>0</v>
      </c>
      <c r="L55" s="86">
        <f t="shared" si="7"/>
        <v>0</v>
      </c>
      <c r="O55" s="86">
        <f t="shared" ref="O55:Q55" si="8">O48*$O$47</f>
        <v>0</v>
      </c>
      <c r="P55" s="86">
        <f t="shared" si="8"/>
        <v>0</v>
      </c>
      <c r="Q55" s="86">
        <f t="shared" si="8"/>
        <v>0</v>
      </c>
      <c r="T55" s="86">
        <f t="shared" ref="T55:V55" si="9">T48*$T$47</f>
        <v>0</v>
      </c>
      <c r="U55" s="86">
        <f t="shared" si="9"/>
        <v>0</v>
      </c>
      <c r="V55" s="86">
        <f t="shared" si="9"/>
        <v>0</v>
      </c>
      <c r="Y55" s="86">
        <f t="shared" ref="Y55:AA55" si="10">Y48*$Y$47</f>
        <v>0</v>
      </c>
      <c r="Z55" s="86">
        <f t="shared" si="10"/>
        <v>0</v>
      </c>
      <c r="AA55" s="86">
        <f t="shared" si="10"/>
        <v>0</v>
      </c>
      <c r="AD55" s="86">
        <f t="shared" ref="AD55:AF55" si="11">AD48*$AD$47</f>
        <v>0</v>
      </c>
      <c r="AE55" s="86">
        <f t="shared" si="11"/>
        <v>0</v>
      </c>
      <c r="AF55" s="86">
        <f t="shared" si="11"/>
        <v>0</v>
      </c>
      <c r="AH55" s="432"/>
      <c r="AI55" s="431">
        <f t="shared" ref="AI55:AK60" si="12">AI48*$AI$47</f>
        <v>1525</v>
      </c>
      <c r="AJ55" s="431">
        <f t="shared" si="12"/>
        <v>1575</v>
      </c>
      <c r="AK55" s="431">
        <f t="shared" si="12"/>
        <v>1610</v>
      </c>
      <c r="AM55" s="439"/>
      <c r="AN55" s="438">
        <f t="shared" ref="AN55:AP60" si="13">AN48*$AN$47</f>
        <v>0</v>
      </c>
      <c r="AO55" s="438">
        <f t="shared" si="13"/>
        <v>0</v>
      </c>
      <c r="AP55" s="438">
        <f t="shared" si="13"/>
        <v>0</v>
      </c>
    </row>
    <row r="56" spans="1:42">
      <c r="J56" s="86">
        <f t="shared" ref="J56:L56" si="14">J49*$J$47</f>
        <v>0</v>
      </c>
      <c r="K56" s="86">
        <f t="shared" si="14"/>
        <v>0</v>
      </c>
      <c r="L56" s="86">
        <f t="shared" si="14"/>
        <v>0</v>
      </c>
      <c r="O56" s="86">
        <f t="shared" ref="O56:Q56" si="15">O49*$O$47</f>
        <v>0</v>
      </c>
      <c r="P56" s="86">
        <f t="shared" si="15"/>
        <v>0</v>
      </c>
      <c r="Q56" s="86">
        <f t="shared" si="15"/>
        <v>0</v>
      </c>
      <c r="T56" s="86">
        <f t="shared" ref="T56:V56" si="16">T49*$T$47</f>
        <v>0</v>
      </c>
      <c r="U56" s="86">
        <f t="shared" si="16"/>
        <v>0</v>
      </c>
      <c r="V56" s="86">
        <f t="shared" si="16"/>
        <v>0</v>
      </c>
      <c r="Y56" s="86">
        <f t="shared" ref="Y56:AA56" si="17">Y49*$Y$47</f>
        <v>0</v>
      </c>
      <c r="Z56" s="86">
        <f t="shared" si="17"/>
        <v>0</v>
      </c>
      <c r="AA56" s="86">
        <f t="shared" si="17"/>
        <v>0</v>
      </c>
      <c r="AD56" s="86">
        <f t="shared" ref="AD56:AF56" si="18">AD49*$AD$47</f>
        <v>0</v>
      </c>
      <c r="AE56" s="86">
        <f t="shared" si="18"/>
        <v>0</v>
      </c>
      <c r="AF56" s="86">
        <f t="shared" si="18"/>
        <v>0</v>
      </c>
      <c r="AH56" s="432"/>
      <c r="AI56" s="431">
        <f t="shared" si="12"/>
        <v>-41</v>
      </c>
      <c r="AJ56" s="431">
        <f t="shared" si="12"/>
        <v>-41</v>
      </c>
      <c r="AK56" s="431">
        <f t="shared" si="12"/>
        <v>-41</v>
      </c>
      <c r="AM56" s="439"/>
      <c r="AN56" s="438">
        <f t="shared" si="13"/>
        <v>0</v>
      </c>
      <c r="AO56" s="438">
        <f t="shared" si="13"/>
        <v>0</v>
      </c>
      <c r="AP56" s="438">
        <f t="shared" si="13"/>
        <v>0</v>
      </c>
    </row>
    <row r="57" spans="1:42">
      <c r="J57" s="86">
        <f t="shared" ref="J57:L57" si="19">J50*$J$47</f>
        <v>0</v>
      </c>
      <c r="K57" s="86">
        <f t="shared" si="19"/>
        <v>0</v>
      </c>
      <c r="L57" s="86">
        <f t="shared" si="19"/>
        <v>0</v>
      </c>
      <c r="O57" s="86">
        <f t="shared" ref="O57:Q57" si="20">O50*$O$47</f>
        <v>0</v>
      </c>
      <c r="P57" s="86">
        <f t="shared" si="20"/>
        <v>0</v>
      </c>
      <c r="Q57" s="86">
        <f t="shared" si="20"/>
        <v>0</v>
      </c>
      <c r="T57" s="86">
        <f t="shared" ref="T57:V57" si="21">T50*$T$47</f>
        <v>0</v>
      </c>
      <c r="U57" s="86">
        <f t="shared" si="21"/>
        <v>0</v>
      </c>
      <c r="V57" s="86">
        <f t="shared" si="21"/>
        <v>0</v>
      </c>
      <c r="Y57" s="86">
        <f t="shared" ref="Y57:AA57" si="22">Y50*$Y$47</f>
        <v>0</v>
      </c>
      <c r="Z57" s="86">
        <f t="shared" si="22"/>
        <v>0</v>
      </c>
      <c r="AA57" s="86">
        <f t="shared" si="22"/>
        <v>0</v>
      </c>
      <c r="AD57" s="86">
        <f t="shared" ref="AD57:AF57" si="23">AD50*$AD$47</f>
        <v>0</v>
      </c>
      <c r="AE57" s="86">
        <f t="shared" si="23"/>
        <v>0</v>
      </c>
      <c r="AF57" s="86">
        <f t="shared" si="23"/>
        <v>0</v>
      </c>
      <c r="AH57" s="432"/>
      <c r="AI57" s="431">
        <f t="shared" si="12"/>
        <v>-71</v>
      </c>
      <c r="AJ57" s="431">
        <f t="shared" si="12"/>
        <v>-71</v>
      </c>
      <c r="AK57" s="431">
        <f t="shared" si="12"/>
        <v>-71</v>
      </c>
      <c r="AM57" s="439"/>
      <c r="AN57" s="438">
        <f t="shared" si="13"/>
        <v>0</v>
      </c>
      <c r="AO57" s="438">
        <f t="shared" si="13"/>
        <v>0</v>
      </c>
      <c r="AP57" s="438">
        <f t="shared" si="13"/>
        <v>0</v>
      </c>
    </row>
    <row r="58" spans="1:42">
      <c r="J58" s="86">
        <f t="shared" ref="J58:L58" si="24">J51*$J$47</f>
        <v>0</v>
      </c>
      <c r="K58" s="86">
        <f t="shared" si="24"/>
        <v>0</v>
      </c>
      <c r="L58" s="86">
        <f t="shared" si="24"/>
        <v>0</v>
      </c>
      <c r="O58" s="86">
        <f t="shared" ref="O58:Q58" si="25">O51*$O$47</f>
        <v>0</v>
      </c>
      <c r="P58" s="86">
        <f t="shared" si="25"/>
        <v>0</v>
      </c>
      <c r="Q58" s="86">
        <f t="shared" si="25"/>
        <v>0</v>
      </c>
      <c r="T58" s="86">
        <f t="shared" ref="T58:V58" si="26">T51*$T$47</f>
        <v>0</v>
      </c>
      <c r="U58" s="86">
        <f t="shared" si="26"/>
        <v>0</v>
      </c>
      <c r="V58" s="86">
        <f t="shared" si="26"/>
        <v>0</v>
      </c>
      <c r="Y58" s="86">
        <f t="shared" ref="Y58:AA58" si="27">Y51*$Y$47</f>
        <v>0</v>
      </c>
      <c r="Z58" s="86">
        <f t="shared" si="27"/>
        <v>0</v>
      </c>
      <c r="AA58" s="86">
        <f t="shared" si="27"/>
        <v>0</v>
      </c>
      <c r="AD58" s="86">
        <f t="shared" ref="AD58:AF58" si="28">AD51*$AD$47</f>
        <v>0</v>
      </c>
      <c r="AE58" s="86">
        <f t="shared" si="28"/>
        <v>0</v>
      </c>
      <c r="AF58" s="86">
        <f t="shared" si="28"/>
        <v>0</v>
      </c>
      <c r="AH58" s="432"/>
      <c r="AI58" s="431">
        <f t="shared" si="12"/>
        <v>-91</v>
      </c>
      <c r="AJ58" s="431">
        <f t="shared" si="12"/>
        <v>-91</v>
      </c>
      <c r="AK58" s="431">
        <f t="shared" si="12"/>
        <v>-91</v>
      </c>
      <c r="AM58" s="439"/>
      <c r="AN58" s="438">
        <f t="shared" si="13"/>
        <v>0</v>
      </c>
      <c r="AO58" s="438">
        <f t="shared" si="13"/>
        <v>0</v>
      </c>
      <c r="AP58" s="438">
        <f t="shared" si="13"/>
        <v>0</v>
      </c>
    </row>
    <row r="59" spans="1:42">
      <c r="J59" s="86">
        <f t="shared" ref="J59:L59" si="29">J52*$J$47</f>
        <v>0</v>
      </c>
      <c r="K59" s="86">
        <f t="shared" si="29"/>
        <v>0</v>
      </c>
      <c r="L59" s="86">
        <f t="shared" si="29"/>
        <v>0</v>
      </c>
      <c r="O59" s="86">
        <f t="shared" ref="O59:Q59" si="30">O52*$O$47</f>
        <v>0</v>
      </c>
      <c r="P59" s="86">
        <f t="shared" si="30"/>
        <v>0</v>
      </c>
      <c r="Q59" s="86">
        <f t="shared" si="30"/>
        <v>0</v>
      </c>
      <c r="T59" s="86">
        <f t="shared" ref="T59:V59" si="31">T52*$T$47</f>
        <v>0</v>
      </c>
      <c r="U59" s="86">
        <f t="shared" si="31"/>
        <v>0</v>
      </c>
      <c r="V59" s="86">
        <f t="shared" si="31"/>
        <v>0</v>
      </c>
      <c r="Y59" s="86">
        <f t="shared" ref="Y59:AA59" si="32">Y52*$Y$47</f>
        <v>0</v>
      </c>
      <c r="Z59" s="86">
        <f t="shared" si="32"/>
        <v>0</v>
      </c>
      <c r="AA59" s="86">
        <f t="shared" si="32"/>
        <v>0</v>
      </c>
      <c r="AD59" s="86">
        <f t="shared" ref="AD59:AF59" si="33">AD52*$AD$47</f>
        <v>0</v>
      </c>
      <c r="AE59" s="86">
        <f t="shared" si="33"/>
        <v>0</v>
      </c>
      <c r="AF59" s="86">
        <f t="shared" si="33"/>
        <v>0</v>
      </c>
      <c r="AH59" s="432"/>
      <c r="AI59" s="431">
        <f t="shared" si="12"/>
        <v>-111</v>
      </c>
      <c r="AJ59" s="431">
        <f t="shared" si="12"/>
        <v>-111</v>
      </c>
      <c r="AK59" s="431">
        <f t="shared" si="12"/>
        <v>-111</v>
      </c>
      <c r="AM59" s="439"/>
      <c r="AN59" s="438">
        <f t="shared" si="13"/>
        <v>0</v>
      </c>
      <c r="AO59" s="438">
        <f t="shared" si="13"/>
        <v>0</v>
      </c>
      <c r="AP59" s="438">
        <f t="shared" si="13"/>
        <v>0</v>
      </c>
    </row>
    <row r="60" spans="1:42">
      <c r="J60" s="86">
        <f t="shared" ref="J60:L60" si="34">J53*$J$47</f>
        <v>0</v>
      </c>
      <c r="K60" s="86">
        <f t="shared" si="34"/>
        <v>0</v>
      </c>
      <c r="L60" s="86">
        <f t="shared" si="34"/>
        <v>0</v>
      </c>
      <c r="O60" s="86">
        <f t="shared" ref="O60:Q60" si="35">O53*$O$47</f>
        <v>0</v>
      </c>
      <c r="P60" s="86">
        <f t="shared" si="35"/>
        <v>0</v>
      </c>
      <c r="Q60" s="86">
        <f t="shared" si="35"/>
        <v>0</v>
      </c>
      <c r="T60" s="86">
        <f t="shared" ref="T60:V60" si="36">T53*$T$47</f>
        <v>0</v>
      </c>
      <c r="U60" s="86">
        <f t="shared" si="36"/>
        <v>0</v>
      </c>
      <c r="V60" s="86">
        <f t="shared" si="36"/>
        <v>0</v>
      </c>
      <c r="Y60" s="86">
        <f t="shared" ref="Y60:AA60" si="37">Y53*$Y$47</f>
        <v>0</v>
      </c>
      <c r="Z60" s="86">
        <f t="shared" si="37"/>
        <v>0</v>
      </c>
      <c r="AA60" s="86">
        <f t="shared" si="37"/>
        <v>0</v>
      </c>
      <c r="AD60" s="86">
        <f t="shared" ref="AD60:AF60" si="38">AD53*$AD$47</f>
        <v>0</v>
      </c>
      <c r="AE60" s="86">
        <f t="shared" si="38"/>
        <v>0</v>
      </c>
      <c r="AF60" s="86">
        <f t="shared" si="38"/>
        <v>0</v>
      </c>
      <c r="AH60" s="432"/>
      <c r="AI60" s="431">
        <f t="shared" si="12"/>
        <v>-115</v>
      </c>
      <c r="AJ60" s="431">
        <f t="shared" si="12"/>
        <v>-115</v>
      </c>
      <c r="AK60" s="431">
        <f t="shared" si="12"/>
        <v>-115</v>
      </c>
      <c r="AM60" s="439"/>
      <c r="AN60" s="438">
        <f t="shared" si="13"/>
        <v>0</v>
      </c>
      <c r="AO60" s="438">
        <f t="shared" si="13"/>
        <v>0</v>
      </c>
      <c r="AP60" s="438">
        <f t="shared" si="13"/>
        <v>0</v>
      </c>
    </row>
  </sheetData>
  <mergeCells count="3">
    <mergeCell ref="W20:W21"/>
    <mergeCell ref="G36:J37"/>
    <mergeCell ref="G39:J3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D00-000000000000}">
          <x14:formula1>
            <xm:f>Inputs!$A$4:$A$12</xm:f>
          </x14:formula1>
          <xm:sqref>AM47 I47 N47 S47 X47 AC47 AH47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17"/>
  <sheetViews>
    <sheetView workbookViewId="0">
      <selection activeCell="B4" sqref="B4"/>
    </sheetView>
  </sheetViews>
  <sheetFormatPr defaultColWidth="14.42578125" defaultRowHeight="12.75" customHeight="1"/>
  <cols>
    <col min="1" max="20" width="17.28515625" customWidth="1"/>
  </cols>
  <sheetData>
    <row r="1" spans="1:4" ht="12.75" customHeight="1">
      <c r="A1" s="10" t="s">
        <v>483</v>
      </c>
      <c r="B1" s="200">
        <f>'Top Level'!K15</f>
        <v>1</v>
      </c>
      <c r="C1" s="200">
        <f>IF(B1=0,-200,0)</f>
        <v>0</v>
      </c>
      <c r="D1" s="10" t="s">
        <v>484</v>
      </c>
    </row>
    <row r="2" spans="1:4" ht="12.75" customHeight="1">
      <c r="A2" s="10" t="s">
        <v>485</v>
      </c>
      <c r="B2" s="86">
        <f>'Top Level'!G12</f>
        <v>1.0229999999999999</v>
      </c>
      <c r="C2" s="10" t="s">
        <v>486</v>
      </c>
      <c r="D2" s="10">
        <v>3</v>
      </c>
    </row>
    <row r="3" spans="1:4" ht="12.75" customHeight="1">
      <c r="A3" s="10" t="s">
        <v>487</v>
      </c>
    </row>
    <row r="4" spans="1:4" ht="12.75" customHeight="1">
      <c r="A4" s="276">
        <v>100</v>
      </c>
      <c r="B4" s="86">
        <f>10*LOG((2*PI())^2/(12*B$2*1000000)*((2*SIN(PI()*A4/(B$2*1000000)))^(2*(D$2-1))))+C$1</f>
        <v>-183.39480231764693</v>
      </c>
    </row>
    <row r="5" spans="1:4" ht="12.75" customHeight="1">
      <c r="A5" s="210">
        <f>'PLL filter cal'!D26</f>
        <v>1000</v>
      </c>
      <c r="B5" s="86">
        <f t="shared" ref="B5:B15" si="0">10*LOG((2*PI())^2/(12*B$2*1000000)*((2*SIN(PI()*A5/(B$2*1000000)))^(2*(D$2-1))))+C$1</f>
        <v>-143.39482934956504</v>
      </c>
    </row>
    <row r="6" spans="1:4" ht="12.75" customHeight="1">
      <c r="A6" s="210">
        <f>'PLL filter cal'!D27</f>
        <v>4000</v>
      </c>
      <c r="B6" s="86">
        <f t="shared" si="0"/>
        <v>-119.31283927302174</v>
      </c>
    </row>
    <row r="7" spans="1:4" ht="12.75" customHeight="1">
      <c r="A7" s="210">
        <f>'PLL filter cal'!D28</f>
        <v>10000</v>
      </c>
      <c r="B7" s="86">
        <f t="shared" si="0"/>
        <v>-103.3975326263475</v>
      </c>
    </row>
    <row r="8" spans="1:4" ht="12.75" customHeight="1">
      <c r="A8" s="210">
        <f>'PLL filter cal'!D29</f>
        <v>20000</v>
      </c>
      <c r="B8" s="86">
        <f t="shared" si="0"/>
        <v>-91.364525575377485</v>
      </c>
    </row>
    <row r="9" spans="1:4" ht="12.75" customHeight="1">
      <c r="A9" s="210">
        <f>'PLL filter cal'!D30</f>
        <v>40000</v>
      </c>
      <c r="B9" s="86">
        <f t="shared" si="0"/>
        <v>-79.356112321080971</v>
      </c>
    </row>
    <row r="10" spans="1:4" ht="12.75" customHeight="1">
      <c r="A10" s="210">
        <f>'PLL filter cal'!D31</f>
        <v>80000</v>
      </c>
      <c r="B10" s="86">
        <f t="shared" si="0"/>
        <v>-67.446307240247393</v>
      </c>
    </row>
    <row r="11" spans="1:4" ht="12.75" customHeight="1">
      <c r="A11" s="210">
        <f>'PLL filter cal'!D32</f>
        <v>100000</v>
      </c>
      <c r="B11" s="86">
        <f t="shared" si="0"/>
        <v>-63.668715170413833</v>
      </c>
    </row>
    <row r="12" spans="1:4" ht="12.75" customHeight="1">
      <c r="A12" s="210">
        <f>'PLL filter cal'!D33</f>
        <v>200000</v>
      </c>
      <c r="B12" s="86">
        <f t="shared" si="0"/>
        <v>-52.45987285850233</v>
      </c>
    </row>
    <row r="13" spans="1:4" ht="12.75" customHeight="1">
      <c r="A13" s="210">
        <f>'PLL filter cal'!D34</f>
        <v>400000</v>
      </c>
      <c r="B13" s="86">
        <f t="shared" si="0"/>
        <v>-43.924703347243259</v>
      </c>
    </row>
    <row r="14" spans="1:4" ht="12.75" customHeight="1">
      <c r="A14" s="210">
        <f>'PLL filter cal'!D35</f>
        <v>1000000</v>
      </c>
      <c r="B14" s="86">
        <f t="shared" si="0"/>
        <v>-88.940135330053494</v>
      </c>
    </row>
    <row r="15" spans="1:4" ht="12.75" customHeight="1">
      <c r="A15" s="210">
        <f>'PLL filter cal'!D36</f>
        <v>10000000</v>
      </c>
      <c r="B15" s="86">
        <f t="shared" si="0"/>
        <v>-50.394931857348851</v>
      </c>
    </row>
    <row r="16" spans="1:4" ht="12.75" customHeight="1">
      <c r="A16" s="86">
        <f>'PLL filter cal'!D37</f>
        <v>0</v>
      </c>
    </row>
    <row r="17" spans="1:1" ht="12.75" customHeight="1">
      <c r="A17" s="86">
        <f>'PLL filter cal'!D38</f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R78"/>
  <sheetViews>
    <sheetView workbookViewId="0">
      <selection activeCell="G22" sqref="G22"/>
    </sheetView>
  </sheetViews>
  <sheetFormatPr defaultColWidth="14.42578125" defaultRowHeight="12.75" customHeight="1"/>
  <cols>
    <col min="1" max="1" width="13.42578125" customWidth="1"/>
    <col min="2" max="3" width="12.140625" customWidth="1"/>
    <col min="4" max="4" width="14" customWidth="1"/>
    <col min="5" max="9" width="9.28515625" customWidth="1"/>
    <col min="10" max="10" width="9.7109375" customWidth="1"/>
    <col min="11" max="14" width="9.28515625" customWidth="1"/>
    <col min="15" max="15" width="11.85546875" customWidth="1"/>
    <col min="16" max="16" width="13.5703125" customWidth="1"/>
    <col min="17" max="17" width="12.42578125" customWidth="1"/>
    <col min="18" max="32" width="10.85546875" customWidth="1"/>
    <col min="33" max="33" width="9.28515625" customWidth="1"/>
    <col min="34" max="34" width="9.7109375" customWidth="1"/>
    <col min="35" max="37" width="9.28515625" customWidth="1"/>
    <col min="38" max="38" width="10.5703125" customWidth="1"/>
    <col min="39" max="39" width="9.28515625" customWidth="1"/>
    <col min="40" max="40" width="10.5703125" customWidth="1"/>
    <col min="41" max="41" width="9.28515625" customWidth="1"/>
    <col min="42" max="42" width="11.42578125" customWidth="1"/>
    <col min="43" max="45" width="9.28515625" customWidth="1"/>
    <col min="46" max="46" width="12.140625" customWidth="1"/>
    <col min="47" max="47" width="9.28515625" customWidth="1"/>
    <col min="48" max="49" width="12.140625" customWidth="1"/>
    <col min="50" max="50" width="5.5703125" customWidth="1"/>
    <col min="51" max="55" width="9.28515625" customWidth="1"/>
  </cols>
  <sheetData>
    <row r="1" spans="1:30" ht="12" customHeight="1">
      <c r="A1" s="234" t="s">
        <v>488</v>
      </c>
      <c r="B1" s="236">
        <f>'Top Level'!G12</f>
        <v>1.0229999999999999</v>
      </c>
      <c r="L1" s="277" t="str">
        <f>'Top Level'!I9</f>
        <v>pas flt</v>
      </c>
      <c r="M1" s="10" t="s">
        <v>489</v>
      </c>
      <c r="O1" s="234" t="s">
        <v>490</v>
      </c>
      <c r="P1" s="238"/>
      <c r="Q1" s="234" t="s">
        <v>491</v>
      </c>
      <c r="R1" s="238"/>
      <c r="S1" s="234" t="s">
        <v>492</v>
      </c>
      <c r="U1" s="10" t="s">
        <v>493</v>
      </c>
      <c r="V1" s="9"/>
      <c r="W1" s="479" t="s">
        <v>494</v>
      </c>
      <c r="X1" s="480"/>
      <c r="Y1" s="7"/>
    </row>
    <row r="2" spans="1:30" ht="12" customHeight="1">
      <c r="A2" s="278"/>
      <c r="B2" s="279">
        <f>'Top Level'!H12</f>
        <v>0.5</v>
      </c>
      <c r="K2" s="10" t="s">
        <v>495</v>
      </c>
      <c r="L2" s="86">
        <f>IF(L1="act flt",0,1)</f>
        <v>1</v>
      </c>
      <c r="N2" s="86" t="str">
        <f t="shared" ref="N2:N14" si="0">G24</f>
        <v>Hz</v>
      </c>
      <c r="O2" s="10" t="s">
        <v>496</v>
      </c>
      <c r="P2" s="10" t="s">
        <v>497</v>
      </c>
      <c r="Q2" s="10" t="s">
        <v>498</v>
      </c>
      <c r="R2" s="10" t="s">
        <v>499</v>
      </c>
      <c r="S2" s="86" t="str">
        <f>'R noise'!AG10</f>
        <v>re</v>
      </c>
      <c r="T2" s="86" t="str">
        <f>'R noise'!AH10</f>
        <v>im</v>
      </c>
      <c r="U2" s="86" t="str">
        <f>'R noise'!AI10</f>
        <v>re</v>
      </c>
      <c r="V2" s="86" t="str">
        <f>'R noise'!AJ10</f>
        <v>im</v>
      </c>
      <c r="W2" s="10" t="s">
        <v>500</v>
      </c>
      <c r="X2" s="12" t="s">
        <v>501</v>
      </c>
      <c r="Y2" s="7"/>
    </row>
    <row r="3" spans="1:30" ht="12" customHeight="1">
      <c r="A3" s="280" t="s">
        <v>502</v>
      </c>
      <c r="B3" s="279">
        <f>'Top Level'!J10</f>
        <v>70</v>
      </c>
      <c r="N3" s="86">
        <f t="shared" si="0"/>
        <v>100</v>
      </c>
      <c r="O3" s="281">
        <v>1</v>
      </c>
      <c r="P3" s="211">
        <f t="shared" ref="P3:P14" si="1">2*PI()*N3*$B$19*$B$17</f>
        <v>7.0685834705770346E-3</v>
      </c>
      <c r="Q3" s="211">
        <f t="shared" ref="Q3:Q14" si="2">-1*(2*PI()*N3)^2*(B$16+B$17)*(B$16*B$17*B$19/(B$16+B$17))</f>
        <v>-6.6619829707353171E-11</v>
      </c>
      <c r="R3" s="211">
        <f t="shared" ref="R3:R14" si="3">2*PI()*N3*($B$16+$B$17)</f>
        <v>4.8066367599923837E-7</v>
      </c>
      <c r="S3" s="282">
        <f t="shared" ref="S3:S14" si="4">(O3*Q3+P3*R3)/(Q3^2+R3^2)</f>
        <v>14417.531441610872</v>
      </c>
      <c r="T3" s="282">
        <f t="shared" ref="T3:T14" si="5">(P3*Q3-O3*R3)/(Q3^2+R3^2)</f>
        <v>-2080458.7707082608</v>
      </c>
      <c r="U3" s="211">
        <f>'R noise'!AI11</f>
        <v>0.96105513826771816</v>
      </c>
      <c r="V3" s="283">
        <f>'R noise'!AJ11</f>
        <v>-3.1334648083950026E-4</v>
      </c>
      <c r="W3" s="284">
        <f t="shared" ref="W3:W14" si="6">S3*U3-T3*V3</f>
        <v>13204.138238763404</v>
      </c>
      <c r="X3" s="284">
        <f t="shared" ref="X3:X14" si="7">S3*V3+T3*U3</f>
        <v>-1999440.109226054</v>
      </c>
      <c r="Y3" s="7"/>
    </row>
    <row r="4" spans="1:30" ht="12" customHeight="1">
      <c r="A4" s="280" t="s">
        <v>271</v>
      </c>
      <c r="B4" s="279">
        <f>'Top Level'!I15</f>
        <v>1539.5894428152494</v>
      </c>
      <c r="N4" s="86">
        <f t="shared" si="0"/>
        <v>1000</v>
      </c>
      <c r="O4" s="281">
        <v>1</v>
      </c>
      <c r="P4" s="211">
        <f t="shared" si="1"/>
        <v>7.0685834705770348E-2</v>
      </c>
      <c r="Q4" s="211">
        <f t="shared" si="2"/>
        <v>-6.6619829707353168E-9</v>
      </c>
      <c r="R4" s="211">
        <f t="shared" si="3"/>
        <v>4.8066367599923829E-6</v>
      </c>
      <c r="S4" s="282">
        <f t="shared" si="4"/>
        <v>14417.504022731755</v>
      </c>
      <c r="T4" s="282">
        <f t="shared" si="5"/>
        <v>-208065.65985815509</v>
      </c>
      <c r="U4" s="211">
        <f>'R noise'!AI12</f>
        <v>0.96104146523610667</v>
      </c>
      <c r="V4" s="283">
        <f>'R noise'!AJ12</f>
        <v>-3.1334036919716656E-3</v>
      </c>
      <c r="W4" s="285">
        <f t="shared" si="6"/>
        <v>13203.865484281523</v>
      </c>
      <c r="X4" s="285">
        <f t="shared" si="7"/>
        <v>-200004.90247573258</v>
      </c>
      <c r="Y4" s="7"/>
      <c r="Z4" s="481" t="s">
        <v>503</v>
      </c>
      <c r="AA4" s="461"/>
      <c r="AB4" s="461"/>
      <c r="AC4" s="461"/>
      <c r="AD4" s="461"/>
    </row>
    <row r="5" spans="1:30" ht="12" customHeight="1">
      <c r="A5" s="280" t="s">
        <v>504</v>
      </c>
      <c r="B5" s="286">
        <f>'Top Level'!L4</f>
        <v>0</v>
      </c>
      <c r="F5" s="201"/>
      <c r="N5" s="86">
        <f t="shared" si="0"/>
        <v>4000</v>
      </c>
      <c r="O5" s="281">
        <v>1</v>
      </c>
      <c r="P5" s="211">
        <f t="shared" si="1"/>
        <v>0.28274333882308139</v>
      </c>
      <c r="Q5" s="211">
        <f t="shared" si="2"/>
        <v>-1.0659172753176507E-7</v>
      </c>
      <c r="R5" s="211">
        <f t="shared" si="3"/>
        <v>1.9226547039969531E-5</v>
      </c>
      <c r="S5" s="282">
        <f t="shared" si="4"/>
        <v>14417.088597929751</v>
      </c>
      <c r="T5" s="282">
        <f t="shared" si="5"/>
        <v>-52091.347463357051</v>
      </c>
      <c r="U5" s="211">
        <f>'R noise'!AI13</f>
        <v>0.96083436429003033</v>
      </c>
      <c r="V5" s="283">
        <f>'R noise'!AJ13</f>
        <v>-1.2529911926513917E-2</v>
      </c>
      <c r="W5" s="285">
        <f t="shared" si="6"/>
        <v>13199.734162055578</v>
      </c>
      <c r="X5" s="285">
        <f t="shared" si="7"/>
        <v>-50231.801575334561</v>
      </c>
      <c r="Y5" s="7"/>
    </row>
    <row r="6" spans="1:30" ht="12" customHeight="1">
      <c r="A6" s="280" t="s">
        <v>505</v>
      </c>
      <c r="B6" s="286">
        <f>'Top Level'!H4</f>
        <v>50</v>
      </c>
      <c r="N6" s="86">
        <f t="shared" si="0"/>
        <v>10000</v>
      </c>
      <c r="O6" s="281">
        <v>1</v>
      </c>
      <c r="P6" s="211">
        <f t="shared" si="1"/>
        <v>0.70685834705770345</v>
      </c>
      <c r="Q6" s="211">
        <f t="shared" si="2"/>
        <v>-6.6619829707353171E-7</v>
      </c>
      <c r="R6" s="211">
        <f t="shared" si="3"/>
        <v>4.8066367599923832E-5</v>
      </c>
      <c r="S6" s="282">
        <f t="shared" si="4"/>
        <v>14414.762661378969</v>
      </c>
      <c r="T6" s="282">
        <f t="shared" si="5"/>
        <v>-21004.355867725888</v>
      </c>
      <c r="U6" s="211">
        <f>'R noise'!AI14</f>
        <v>0.95967688965959597</v>
      </c>
      <c r="V6" s="283">
        <f>'R noise'!AJ14</f>
        <v>-3.1273042484932054E-2</v>
      </c>
      <c r="W6" s="285">
        <f t="shared" si="6"/>
        <v>13176.644482633425</v>
      </c>
      <c r="X6" s="285">
        <f t="shared" si="7"/>
        <v>-20608.188393561981</v>
      </c>
      <c r="Y6" s="7"/>
    </row>
    <row r="7" spans="1:30" ht="12" customHeight="1">
      <c r="A7" s="280" t="s">
        <v>506</v>
      </c>
      <c r="B7" s="286">
        <f>'Top Level'!J4</f>
        <v>60</v>
      </c>
      <c r="C7" s="280" t="s">
        <v>507</v>
      </c>
      <c r="D7" s="279">
        <f>RADIANS(B7)</f>
        <v>1.0471975511965976</v>
      </c>
      <c r="N7" s="86">
        <f t="shared" si="0"/>
        <v>20000</v>
      </c>
      <c r="O7" s="281">
        <v>1</v>
      </c>
      <c r="P7" s="211">
        <f t="shared" si="1"/>
        <v>1.4137166941154069</v>
      </c>
      <c r="Q7" s="211">
        <f t="shared" si="2"/>
        <v>-2.6647931882941268E-6</v>
      </c>
      <c r="R7" s="211">
        <f t="shared" si="3"/>
        <v>9.6132735199847664E-5</v>
      </c>
      <c r="S7" s="282">
        <f t="shared" si="4"/>
        <v>14406.461868092989</v>
      </c>
      <c r="T7" s="282">
        <f t="shared" si="5"/>
        <v>-10801.630051353817</v>
      </c>
      <c r="U7" s="211">
        <f>'R noise'!AI15</f>
        <v>0.95557453264248648</v>
      </c>
      <c r="V7" s="283">
        <f>'R noise'!AJ15</f>
        <v>-6.2179348512267585E-2</v>
      </c>
      <c r="W7" s="285">
        <f t="shared" si="6"/>
        <v>13094.80974717105</v>
      </c>
      <c r="X7" s="285">
        <f t="shared" si="7"/>
        <v>-11217.547001424309</v>
      </c>
      <c r="Y7" s="7"/>
    </row>
    <row r="8" spans="1:30" ht="12" customHeight="1">
      <c r="N8" s="86">
        <f t="shared" si="0"/>
        <v>40000</v>
      </c>
      <c r="O8" s="281">
        <v>1</v>
      </c>
      <c r="P8" s="211">
        <f t="shared" si="1"/>
        <v>2.8274333882308138</v>
      </c>
      <c r="Q8" s="211">
        <f t="shared" si="2"/>
        <v>-1.0659172753176507E-5</v>
      </c>
      <c r="R8" s="211">
        <f t="shared" si="3"/>
        <v>1.9226547039969533E-4</v>
      </c>
      <c r="S8" s="282">
        <f t="shared" si="4"/>
        <v>14373.354076084324</v>
      </c>
      <c r="T8" s="282">
        <f t="shared" si="5"/>
        <v>-5997.998817687775</v>
      </c>
      <c r="U8" s="211">
        <f>'R noise'!AI16</f>
        <v>0.93964189277097054</v>
      </c>
      <c r="V8" s="283">
        <f>'R noise'!AJ16</f>
        <v>-0.12151010090226952</v>
      </c>
      <c r="W8" s="285">
        <f t="shared" si="6"/>
        <v>12776.988187970284</v>
      </c>
      <c r="X8" s="285">
        <f t="shared" si="7"/>
        <v>-7382.4786659792371</v>
      </c>
      <c r="Y8" s="7"/>
    </row>
    <row r="9" spans="1:30" ht="12" customHeight="1">
      <c r="A9" s="280" t="s">
        <v>508</v>
      </c>
      <c r="B9" s="279">
        <f>2*PI()*B6*1000</f>
        <v>314159.26535897935</v>
      </c>
      <c r="N9" s="86">
        <f t="shared" si="0"/>
        <v>80000</v>
      </c>
      <c r="O9" s="281">
        <v>1</v>
      </c>
      <c r="P9" s="211">
        <f t="shared" si="1"/>
        <v>5.6548667764616276</v>
      </c>
      <c r="Q9" s="211">
        <f t="shared" si="2"/>
        <v>-4.2636691012706029E-5</v>
      </c>
      <c r="R9" s="211">
        <f t="shared" si="3"/>
        <v>3.8453094079939066E-4</v>
      </c>
      <c r="S9" s="282">
        <f t="shared" si="4"/>
        <v>14242.430761349049</v>
      </c>
      <c r="T9" s="282">
        <f t="shared" si="5"/>
        <v>-4179.7679955226267</v>
      </c>
      <c r="U9" s="211">
        <f>'R noise'!AI17</f>
        <v>0.88268772190834444</v>
      </c>
      <c r="V9" s="283">
        <f>'R noise'!AJ17</f>
        <v>-0.22265597124851033</v>
      </c>
      <c r="W9" s="285">
        <f t="shared" si="6"/>
        <v>11640.968460535991</v>
      </c>
      <c r="X9" s="285">
        <f t="shared" si="7"/>
        <v>-6860.5921441811079</v>
      </c>
      <c r="Y9" s="7"/>
    </row>
    <row r="10" spans="1:30" ht="12" customHeight="1">
      <c r="A10" s="280" t="s">
        <v>509</v>
      </c>
      <c r="B10" s="279">
        <f>1/COS(D7)</f>
        <v>1.9999999999999996</v>
      </c>
      <c r="N10" s="86">
        <f t="shared" si="0"/>
        <v>100000</v>
      </c>
      <c r="O10" s="281">
        <v>1</v>
      </c>
      <c r="P10" s="211">
        <f t="shared" si="1"/>
        <v>7.0685834705770336</v>
      </c>
      <c r="Q10" s="211">
        <f t="shared" si="2"/>
        <v>-6.6619829707353163E-5</v>
      </c>
      <c r="R10" s="211">
        <f t="shared" si="3"/>
        <v>4.8066367599923829E-4</v>
      </c>
      <c r="S10" s="282">
        <f t="shared" si="4"/>
        <v>14145.792874177283</v>
      </c>
      <c r="T10" s="282">
        <f t="shared" si="5"/>
        <v>-4041.0590800629971</v>
      </c>
      <c r="U10" s="211">
        <f>'R noise'!AI18</f>
        <v>0.84594875516079615</v>
      </c>
      <c r="V10" s="283">
        <f>'R noise'!AJ18</f>
        <v>-0.26190150030673992</v>
      </c>
      <c r="W10" s="285">
        <f t="shared" si="6"/>
        <v>10908.256436776061</v>
      </c>
      <c r="X10" s="285">
        <f t="shared" si="7"/>
        <v>-7123.3332750859454</v>
      </c>
      <c r="Y10" s="7"/>
    </row>
    <row r="11" spans="1:30" ht="12" customHeight="1">
      <c r="A11" s="280" t="s">
        <v>510</v>
      </c>
      <c r="B11" s="279">
        <f>TAN(D7)</f>
        <v>1.7320508075688767</v>
      </c>
      <c r="N11" s="86">
        <f t="shared" si="0"/>
        <v>200000</v>
      </c>
      <c r="O11" s="281">
        <v>1</v>
      </c>
      <c r="P11" s="211">
        <f t="shared" si="1"/>
        <v>14.137166941154067</v>
      </c>
      <c r="Q11" s="211">
        <f t="shared" si="2"/>
        <v>-2.6647931882941265E-4</v>
      </c>
      <c r="R11" s="211">
        <f t="shared" si="3"/>
        <v>9.6132735199847658E-4</v>
      </c>
      <c r="S11" s="282">
        <f t="shared" si="4"/>
        <v>13388.747327612113</v>
      </c>
      <c r="T11" s="282">
        <f t="shared" si="5"/>
        <v>-4751.580466680025</v>
      </c>
      <c r="U11" s="211">
        <f>'R noise'!AI19</f>
        <v>0.65400574299416059</v>
      </c>
      <c r="V11" s="283">
        <f>'R noise'!AJ19</f>
        <v>-0.35232493235419515</v>
      </c>
      <c r="W11" s="285">
        <f t="shared" si="6"/>
        <v>7082.2173772574861</v>
      </c>
      <c r="X11" s="285">
        <f t="shared" si="7"/>
        <v>-7824.7504100159586</v>
      </c>
      <c r="Y11" s="7"/>
    </row>
    <row r="12" spans="1:30" ht="12" customHeight="1">
      <c r="A12" s="287" t="s">
        <v>511</v>
      </c>
      <c r="B12" s="288">
        <f>(B10-B11)/(B9*(B5/100+1))</f>
        <v>8.5290876945789316E-7</v>
      </c>
      <c r="C12" s="287" t="s">
        <v>512</v>
      </c>
      <c r="E12" s="288">
        <f t="shared" ref="E12:E14" si="8">1+B$9^2*B12^2</f>
        <v>1.0717967697244908</v>
      </c>
      <c r="H12" s="10" t="s">
        <v>513</v>
      </c>
      <c r="N12" s="86">
        <f t="shared" si="0"/>
        <v>400000</v>
      </c>
      <c r="O12" s="281">
        <v>1</v>
      </c>
      <c r="P12" s="211">
        <f t="shared" si="1"/>
        <v>28.274333882308134</v>
      </c>
      <c r="Q12" s="211">
        <f t="shared" si="2"/>
        <v>-1.0659172753176506E-3</v>
      </c>
      <c r="R12" s="211">
        <f t="shared" si="3"/>
        <v>1.9226547039969532E-3</v>
      </c>
      <c r="S12" s="282">
        <f t="shared" si="4"/>
        <v>11027.991241083451</v>
      </c>
      <c r="T12" s="282">
        <f t="shared" si="5"/>
        <v>-6634.0182402002438</v>
      </c>
      <c r="U12" s="211">
        <f>'R noise'!AI20</f>
        <v>0.43396007820720461</v>
      </c>
      <c r="V12" s="283">
        <f>'R noise'!AJ20</f>
        <v>-0.31267957736081337</v>
      </c>
      <c r="W12" s="285">
        <f t="shared" si="6"/>
        <v>2711.3859218992025</v>
      </c>
      <c r="X12" s="285">
        <f t="shared" si="7"/>
        <v>-6327.1267147460449</v>
      </c>
      <c r="Y12" s="7"/>
    </row>
    <row r="13" spans="1:30" ht="12" customHeight="1">
      <c r="A13" s="280" t="s">
        <v>514</v>
      </c>
      <c r="B13" s="279">
        <f>1/(B9^2*(B12+B14))</f>
        <v>1.1879486677893729E-5</v>
      </c>
      <c r="E13" s="279">
        <f t="shared" si="8"/>
        <v>14.928203230275502</v>
      </c>
      <c r="H13" s="86">
        <f>'Top Level'!L7</f>
        <v>1</v>
      </c>
      <c r="J13" s="231" t="s">
        <v>515</v>
      </c>
      <c r="N13" s="86">
        <f t="shared" si="0"/>
        <v>1000000</v>
      </c>
      <c r="O13" s="281">
        <v>1</v>
      </c>
      <c r="P13" s="211">
        <f t="shared" si="1"/>
        <v>70.685834705770333</v>
      </c>
      <c r="Q13" s="211">
        <f t="shared" si="2"/>
        <v>-6.6619829707353171E-3</v>
      </c>
      <c r="R13" s="211">
        <f t="shared" si="3"/>
        <v>4.8066367599923828E-3</v>
      </c>
      <c r="S13" s="282">
        <f t="shared" si="4"/>
        <v>4935.8424534814958</v>
      </c>
      <c r="T13" s="282">
        <f t="shared" si="5"/>
        <v>-7049.1073203917013</v>
      </c>
      <c r="U13" s="211">
        <f>'R noise'!AI21</f>
        <v>0.29586894137183778</v>
      </c>
      <c r="V13" s="283">
        <f>'R noise'!AJ21</f>
        <v>-0.19272287280918524</v>
      </c>
      <c r="W13" s="285">
        <f t="shared" si="6"/>
        <v>101.83826796359813</v>
      </c>
      <c r="X13" s="285">
        <f t="shared" si="7"/>
        <v>-3036.8616578692559</v>
      </c>
      <c r="Y13" s="7"/>
    </row>
    <row r="14" spans="1:30" ht="12" customHeight="1">
      <c r="A14" s="280" t="s">
        <v>516</v>
      </c>
      <c r="B14" s="279">
        <f>(B5/100)*B12</f>
        <v>0</v>
      </c>
      <c r="E14" s="279">
        <f t="shared" si="8"/>
        <v>1</v>
      </c>
      <c r="J14" s="200" t="str">
        <f>'Top Level'!L5</f>
        <v>round</v>
      </c>
      <c r="K14" s="289" t="s">
        <v>517</v>
      </c>
      <c r="N14" s="86">
        <f t="shared" si="0"/>
        <v>10000000</v>
      </c>
      <c r="O14" s="281">
        <v>1</v>
      </c>
      <c r="P14" s="211">
        <f t="shared" si="1"/>
        <v>706.85834705770344</v>
      </c>
      <c r="Q14" s="211">
        <f t="shared" si="2"/>
        <v>-0.66619829707353173</v>
      </c>
      <c r="R14" s="211">
        <f t="shared" si="3"/>
        <v>4.8066367599923832E-2</v>
      </c>
      <c r="S14" s="282">
        <f t="shared" si="4"/>
        <v>74.664053153790121</v>
      </c>
      <c r="T14" s="282">
        <f t="shared" si="5"/>
        <v>-1055.6459245267174</v>
      </c>
      <c r="U14" s="211">
        <f>'R noise'!AI22</f>
        <v>6.760574805812275E-2</v>
      </c>
      <c r="V14" s="283">
        <f>'R noise'!AJ22</f>
        <v>-0.1324783150460192</v>
      </c>
      <c r="W14" s="285">
        <f t="shared" si="6"/>
        <v>-134.80247419998327</v>
      </c>
      <c r="X14" s="285">
        <f t="shared" si="7"/>
        <v>-81.259100368457851</v>
      </c>
      <c r="Y14" s="7"/>
    </row>
    <row r="15" spans="1:30" ht="12" customHeight="1">
      <c r="A15" s="215" t="str">
        <f>'Top Level'!E5</f>
        <v>freeze</v>
      </c>
      <c r="B15" s="280" t="s">
        <v>288</v>
      </c>
      <c r="C15" s="280" t="s">
        <v>518</v>
      </c>
      <c r="D15" s="280" t="s">
        <v>519</v>
      </c>
      <c r="F15" s="280" t="s">
        <v>520</v>
      </c>
      <c r="G15" s="10" t="s">
        <v>521</v>
      </c>
      <c r="H15" s="10" t="s">
        <v>522</v>
      </c>
      <c r="I15" s="10" t="s">
        <v>523</v>
      </c>
      <c r="K15" s="109">
        <f>Inputs!AF4</f>
        <v>1</v>
      </c>
      <c r="W15" s="5"/>
      <c r="X15" s="5"/>
    </row>
    <row r="16" spans="1:30" ht="12" customHeight="1">
      <c r="A16" s="280" t="s">
        <v>524</v>
      </c>
      <c r="B16" s="282">
        <f>IF(A15="freeze",F16*0.000000000001,J16)</f>
        <v>1.5E-11</v>
      </c>
      <c r="C16" s="279">
        <f t="shared" ref="C16:C18" si="9">2*PI()*B16</f>
        <v>9.4247779607693796E-11</v>
      </c>
      <c r="D16" s="290">
        <f t="shared" ref="D16:D18" si="10">B16*10^12</f>
        <v>15</v>
      </c>
      <c r="F16" s="215">
        <f>'Top Level'!G7*1000</f>
        <v>15</v>
      </c>
      <c r="H16" s="211">
        <f>(B12/B13)*(B2*0.001*B3*1000000/(B9^2*B4))*SQRT(E13/(E12*E14))</f>
        <v>6.1718566017315275E-11</v>
      </c>
      <c r="I16" s="211">
        <f>'rc round'!H2</f>
        <v>5.6000000000000007E-11</v>
      </c>
      <c r="J16" s="211">
        <f t="shared" ref="J16:J17" si="11">IF(J$14="exact",H16,I16)</f>
        <v>5.6000000000000007E-11</v>
      </c>
    </row>
    <row r="17" spans="1:44" ht="12" customHeight="1">
      <c r="A17" s="280" t="s">
        <v>525</v>
      </c>
      <c r="B17" s="282">
        <f>IF(A15="freeze",F17*0.000000000001,J17)</f>
        <v>7.5E-10</v>
      </c>
      <c r="C17" s="279">
        <f t="shared" si="9"/>
        <v>4.71238898038469E-9</v>
      </c>
      <c r="D17" s="290">
        <f t="shared" si="10"/>
        <v>750</v>
      </c>
      <c r="F17" s="215">
        <f>'Top Level'!I7*1000</f>
        <v>750</v>
      </c>
      <c r="H17" s="211">
        <f>B16*(B13/B12-1)</f>
        <v>1.9392304845413249E-10</v>
      </c>
      <c r="I17" s="211">
        <f>'rc round'!H3</f>
        <v>1.8E-10</v>
      </c>
      <c r="J17" s="211">
        <f t="shared" si="11"/>
        <v>1.8E-10</v>
      </c>
    </row>
    <row r="18" spans="1:44" ht="12" customHeight="1">
      <c r="A18" s="280" t="s">
        <v>352</v>
      </c>
      <c r="B18" s="282">
        <f>IF(A15="freeze",F18*0.000000000001,J18)</f>
        <v>3.1000000000000003E-11</v>
      </c>
      <c r="C18" s="282">
        <f t="shared" si="9"/>
        <v>1.9477874452256719E-10</v>
      </c>
      <c r="D18" s="290">
        <f t="shared" si="10"/>
        <v>31.000000000000004</v>
      </c>
      <c r="F18" s="215">
        <f>'Top Level'!K7*1000</f>
        <v>31.000000000000004</v>
      </c>
      <c r="H18" s="211">
        <f>(B16/10)/H13</f>
        <v>1.5000000000000001E-12</v>
      </c>
      <c r="I18" s="211">
        <f>'rc round'!H4</f>
        <v>1.5000000000000001E-12</v>
      </c>
      <c r="J18" s="211">
        <f>IF(K15=1,K18, IF(J$14="exact",H18,I18))</f>
        <v>3.1000000000000003E-11</v>
      </c>
      <c r="K18" s="291">
        <f>Inputs!AH4*0.000000001</f>
        <v>3.1000000000000003E-11</v>
      </c>
      <c r="M18" s="292">
        <f>IF(K15=1,K18, IF(J$14="exact",H18,I18))</f>
        <v>3.1000000000000003E-11</v>
      </c>
    </row>
    <row r="19" spans="1:44" ht="12" customHeight="1">
      <c r="A19" s="280" t="s">
        <v>283</v>
      </c>
      <c r="B19" s="282">
        <f>IF(A15="freeze",F19*1000,J19)</f>
        <v>15000</v>
      </c>
      <c r="D19" s="290">
        <f t="shared" ref="D19:D20" si="12">B19/1000</f>
        <v>15</v>
      </c>
      <c r="F19" s="215">
        <f>'Top Level'!H7</f>
        <v>15</v>
      </c>
      <c r="H19" s="211">
        <f>B13/B17</f>
        <v>15839.315570524972</v>
      </c>
      <c r="I19" s="211">
        <f>'rc round'!H5</f>
        <v>16000</v>
      </c>
      <c r="J19" s="211">
        <f>IF(J$14="exact",H19,I19)</f>
        <v>16000</v>
      </c>
      <c r="K19" s="291"/>
    </row>
    <row r="20" spans="1:44" ht="12" customHeight="1">
      <c r="A20" s="280" t="s">
        <v>284</v>
      </c>
      <c r="B20" s="282">
        <f>IF(A15="freeze",F20*1000,J20)</f>
        <v>3000</v>
      </c>
      <c r="D20" s="290">
        <f t="shared" si="12"/>
        <v>3</v>
      </c>
      <c r="F20" s="215">
        <f>'Top Level'!J7</f>
        <v>3</v>
      </c>
      <c r="H20" s="211">
        <f>(B14/B18)</f>
        <v>0</v>
      </c>
      <c r="I20" s="211" t="e">
        <f>'rc round'!H6</f>
        <v>#NUM!</v>
      </c>
      <c r="J20" s="211">
        <f>IF(K15=1,K20, IF(J$14="exact",H20,I20))</f>
        <v>3000</v>
      </c>
      <c r="K20" s="291">
        <f>Inputs!AG4*1000</f>
        <v>3000</v>
      </c>
      <c r="M20" s="291">
        <f>IF(K15=1,K20, IF(J$14="exact",H20,I20))</f>
        <v>3000</v>
      </c>
    </row>
    <row r="21" spans="1:44" ht="12" customHeight="1"/>
    <row r="22" spans="1:44" ht="12" customHeight="1">
      <c r="U22" s="11"/>
      <c r="V22" s="11"/>
    </row>
    <row r="23" spans="1:44" ht="45" customHeight="1">
      <c r="C23" s="234" t="s">
        <v>91</v>
      </c>
      <c r="D23" s="234" t="s">
        <v>526</v>
      </c>
      <c r="E23" s="234" t="s">
        <v>81</v>
      </c>
      <c r="F23" s="234" t="s">
        <v>527</v>
      </c>
      <c r="G23" s="238"/>
      <c r="H23" s="238"/>
      <c r="I23" s="238"/>
      <c r="J23" s="238"/>
      <c r="K23" s="234" t="s">
        <v>528</v>
      </c>
      <c r="L23" s="234" t="s">
        <v>528</v>
      </c>
      <c r="M23" s="234" t="s">
        <v>529</v>
      </c>
      <c r="N23" s="234" t="s">
        <v>529</v>
      </c>
      <c r="O23" s="234" t="s">
        <v>530</v>
      </c>
      <c r="P23" s="234" t="s">
        <v>530</v>
      </c>
      <c r="Q23" s="234" t="s">
        <v>531</v>
      </c>
      <c r="R23" s="234" t="s">
        <v>531</v>
      </c>
      <c r="S23" s="234" t="s">
        <v>532</v>
      </c>
      <c r="T23" s="293" t="s">
        <v>532</v>
      </c>
      <c r="U23" s="294" t="s">
        <v>533</v>
      </c>
      <c r="V23" s="294" t="s">
        <v>534</v>
      </c>
      <c r="W23" s="295" t="s">
        <v>535</v>
      </c>
      <c r="X23" s="238"/>
      <c r="Y23" s="234" t="s">
        <v>536</v>
      </c>
      <c r="Z23" s="238"/>
      <c r="AA23" s="234" t="s">
        <v>537</v>
      </c>
      <c r="AB23" s="234" t="s">
        <v>537</v>
      </c>
      <c r="AC23" s="234" t="s">
        <v>538</v>
      </c>
      <c r="AD23" s="238"/>
      <c r="AE23" s="234" t="s">
        <v>539</v>
      </c>
      <c r="AF23" s="238"/>
      <c r="AG23" s="234" t="s">
        <v>540</v>
      </c>
      <c r="AH23" s="238"/>
      <c r="AI23" s="234" t="s">
        <v>541</v>
      </c>
      <c r="AJ23" s="235" t="s">
        <v>542</v>
      </c>
      <c r="AK23" s="235" t="s">
        <v>543</v>
      </c>
      <c r="AL23" s="234" t="s">
        <v>544</v>
      </c>
      <c r="AM23" s="238"/>
      <c r="AN23" s="234" t="s">
        <v>545</v>
      </c>
      <c r="AO23" s="234" t="s">
        <v>546</v>
      </c>
      <c r="AP23" s="234" t="s">
        <v>546</v>
      </c>
      <c r="AQ23" s="234" t="s">
        <v>547</v>
      </c>
      <c r="AR23" s="234" t="s">
        <v>547</v>
      </c>
    </row>
    <row r="24" spans="1:44" ht="15" customHeight="1">
      <c r="A24" s="280">
        <v>0.1</v>
      </c>
      <c r="B24" s="280">
        <v>0</v>
      </c>
      <c r="C24" s="279">
        <f t="shared" ref="C24:C25" si="13">B24*A$24</f>
        <v>0</v>
      </c>
      <c r="D24" s="10" t="s">
        <v>526</v>
      </c>
      <c r="E24" s="10" t="s">
        <v>548</v>
      </c>
      <c r="F24" s="10" t="s">
        <v>549</v>
      </c>
      <c r="G24" s="10" t="s">
        <v>526</v>
      </c>
      <c r="H24" s="10" t="s">
        <v>550</v>
      </c>
      <c r="I24" s="10" t="s">
        <v>551</v>
      </c>
      <c r="K24" s="10" t="s">
        <v>496</v>
      </c>
      <c r="L24" s="10" t="s">
        <v>497</v>
      </c>
      <c r="M24" s="10" t="s">
        <v>498</v>
      </c>
      <c r="N24" s="10" t="s">
        <v>499</v>
      </c>
      <c r="O24" s="231" t="s">
        <v>500</v>
      </c>
      <c r="P24" s="231" t="s">
        <v>501</v>
      </c>
      <c r="Q24" s="10" t="s">
        <v>500</v>
      </c>
      <c r="R24" s="10" t="s">
        <v>501</v>
      </c>
      <c r="S24" s="10" t="s">
        <v>552</v>
      </c>
      <c r="T24" s="12" t="s">
        <v>553</v>
      </c>
      <c r="U24" s="296" t="s">
        <v>500</v>
      </c>
      <c r="V24" s="296" t="s">
        <v>501</v>
      </c>
      <c r="W24" s="239" t="s">
        <v>500</v>
      </c>
      <c r="X24" s="12" t="s">
        <v>501</v>
      </c>
      <c r="Y24" s="239" t="s">
        <v>500</v>
      </c>
      <c r="Z24" s="10" t="s">
        <v>501</v>
      </c>
      <c r="AA24" s="231" t="s">
        <v>500</v>
      </c>
      <c r="AB24" s="231" t="s">
        <v>501</v>
      </c>
      <c r="AC24" s="10" t="s">
        <v>500</v>
      </c>
      <c r="AD24" s="10" t="s">
        <v>501</v>
      </c>
      <c r="AG24" s="231" t="s">
        <v>500</v>
      </c>
      <c r="AH24" s="231" t="s">
        <v>501</v>
      </c>
      <c r="AO24" s="10" t="s">
        <v>500</v>
      </c>
      <c r="AP24" s="10" t="s">
        <v>501</v>
      </c>
    </row>
    <row r="25" spans="1:44" ht="15" customHeight="1">
      <c r="B25" s="280">
        <v>1</v>
      </c>
      <c r="C25" s="279">
        <f t="shared" si="13"/>
        <v>0.1</v>
      </c>
      <c r="D25" s="297">
        <f t="shared" ref="D25:D36" si="14">C25*1000</f>
        <v>100</v>
      </c>
      <c r="E25" s="279">
        <f t="shared" ref="E25:E36" si="15">AN25</f>
        <v>1.2006231609732659E-4</v>
      </c>
      <c r="F25" s="279">
        <f t="shared" ref="F25:F36" si="16">AR25</f>
        <v>-97.187902366595438</v>
      </c>
      <c r="G25" s="297">
        <f t="shared" ref="G25:G36" si="17">D25</f>
        <v>100</v>
      </c>
      <c r="H25" s="279">
        <f t="shared" ref="H25:H36" si="18">AK25</f>
        <v>97.188022428911523</v>
      </c>
      <c r="I25" s="279">
        <f t="shared" ref="I25:I36" si="19">AJ25</f>
        <v>0.37837112097471959</v>
      </c>
      <c r="J25" s="279">
        <f t="shared" ref="J25:J36" si="20">G25</f>
        <v>100</v>
      </c>
      <c r="K25" s="280">
        <v>1</v>
      </c>
      <c r="L25" s="279">
        <f t="shared" ref="L25:L36" si="21">$B$19*D25*$C$17</f>
        <v>7.0685834705770346E-3</v>
      </c>
      <c r="M25" s="279">
        <f t="shared" ref="M25:M36" si="22">-1*(2*PI()*D25)^2*$B$16*$B$17*$B$19</f>
        <v>-6.6619829707353171E-11</v>
      </c>
      <c r="N25" s="279">
        <f t="shared" ref="N25:N36" si="23">($C$16+$C$17)*D25</f>
        <v>4.8066367599923837E-7</v>
      </c>
      <c r="O25" s="279">
        <f t="shared" ref="O25:O36" si="24">(K25*M25+L25*N25)/(M25^2+N25^2)</f>
        <v>14417.531441610872</v>
      </c>
      <c r="P25" s="279">
        <f t="shared" ref="P25:P36" si="25">(L25*M25-K25*N25)/(M25^2+N25^2)</f>
        <v>-2080458.7707082608</v>
      </c>
      <c r="Q25" s="279">
        <f t="shared" ref="Q25:Q36" si="26">P25/(D25*$C$18)</f>
        <v>-106811386211970.25</v>
      </c>
      <c r="R25" s="279">
        <f t="shared" ref="R25:R36" si="27">-O25/(D25*$C$18)</f>
        <v>-740200450359.73877</v>
      </c>
      <c r="S25" s="279">
        <f t="shared" ref="S25:S36" si="28">O25+$B$20</f>
        <v>17417.531441610874</v>
      </c>
      <c r="T25" s="298">
        <f t="shared" ref="T25:T36" si="29">P25-(1/($C$18*D25))</f>
        <v>-53420762.993900307</v>
      </c>
      <c r="U25" s="299">
        <f t="shared" ref="U25:U36" si="30">(Q25*S25+R25*T25)/(S25^2+T25^2)</f>
        <v>13204.138238763404</v>
      </c>
      <c r="V25" s="299">
        <f t="shared" ref="V25:V36" si="31">(R25*S25-Q25*T25)/(S25^2+T25^2)</f>
        <v>-1999440.1092260545</v>
      </c>
      <c r="W25" s="300">
        <f t="shared" ref="W25:X25" si="32">IF($L$2=1,$B$3*1000000*$B$2*0.001*U25,$B$3*1000000*$B$2*0.001*W3)</f>
        <v>462144838.35671914</v>
      </c>
      <c r="X25" s="279">
        <f t="shared" si="32"/>
        <v>-69980403822.911911</v>
      </c>
      <c r="Y25" s="280">
        <v>0</v>
      </c>
      <c r="Z25" s="279">
        <f t="shared" ref="Z25:Z36" si="33">2*PI()*D25</f>
        <v>628.31853071795865</v>
      </c>
      <c r="AA25" s="279">
        <f t="shared" ref="AA25:AA36" si="34">(W25*Y25+X25*Z25)/(Y25^2+Z25^2)</f>
        <v>-111377271.879834</v>
      </c>
      <c r="AB25" s="279">
        <f t="shared" ref="AB25:AB36" si="35">(X25*Y25-W25*Z25)/(Y25^2+Z25^2)</f>
        <v>-735526.35448876803</v>
      </c>
      <c r="AC25" s="279">
        <f t="shared" ref="AC25:AC36" si="36">AA25/B$4</f>
        <v>-72342.189925758837</v>
      </c>
      <c r="AD25" s="279">
        <f t="shared" ref="AD25:AD36" si="37">AB25/B$4</f>
        <v>-477.74187977270452</v>
      </c>
      <c r="AE25" s="279">
        <f t="shared" ref="AE25:AE36" si="38">AC25+1</f>
        <v>-72341.189925758837</v>
      </c>
      <c r="AF25" s="279">
        <f t="shared" ref="AF25:AF36" si="39">AD25</f>
        <v>-477.74187977270452</v>
      </c>
      <c r="AG25" s="279">
        <f t="shared" ref="AG25:AG36" si="40">(AC25*AE25+AD25*AF25)/(AE25^2+AF25^2)</f>
        <v>1.0000138227804933</v>
      </c>
      <c r="AH25" s="282">
        <f t="shared" ref="AH25:AH36" si="41">(AD25*AE25-AC25*AF25)/(AE25^2+AF25^2)</f>
        <v>-9.1285768776563042E-8</v>
      </c>
      <c r="AI25" s="279">
        <f t="shared" ref="AI25:AI36" si="42">SQRT(AC25^2+AD25^2)</f>
        <v>72343.767392625145</v>
      </c>
      <c r="AJ25" s="279">
        <f t="shared" ref="AJ25:AJ36" si="43">IF(180+180/PI()*ATAN2(AC25,AD25)&lt;180,180+180/PI()*ATAN2(AC25,AD25),-360+180+180/PI()*ATAN2(AC25,AD25))</f>
        <v>0.37837112097471959</v>
      </c>
      <c r="AK25" s="279">
        <f t="shared" ref="AK25:AK36" si="44">20*LOG10(AI25)</f>
        <v>97.188022428911523</v>
      </c>
      <c r="AL25" s="279">
        <f t="shared" ref="AL25:AL36" si="45">SQRT(AG25^2+AH25^2)</f>
        <v>1.0000138227804976</v>
      </c>
      <c r="AM25" s="86">
        <f t="shared" ref="AM25:AM36" si="46">ATAN2(AC25,AD25)</f>
        <v>-3.1349888317343226</v>
      </c>
      <c r="AN25" s="279">
        <f t="shared" ref="AN25:AN36" si="47">20*LOG10(AL25)</f>
        <v>1.2006231609732659E-4</v>
      </c>
      <c r="AO25" s="279">
        <f t="shared" ref="AO25:AO36" si="48">(1*AE25+0)/(AE25^2+AF25^2)</f>
        <v>-1.3822780493263212E-5</v>
      </c>
      <c r="AP25" s="86">
        <f t="shared" ref="AP25:AP36" si="49">(-1*AF25+0)/(AE25^2+AF25^2)</f>
        <v>9.1285768775910376E-8</v>
      </c>
      <c r="AQ25" s="279">
        <f t="shared" ref="AQ25:AQ36" si="50">SQRT(AO25^2+AP25^2)</f>
        <v>1.3823081916002632E-5</v>
      </c>
      <c r="AR25" s="279">
        <f t="shared" ref="AR25:AR36" si="51">20*LOG10(AQ25)</f>
        <v>-97.187902366595438</v>
      </c>
    </row>
    <row r="26" spans="1:44" ht="15" customHeight="1">
      <c r="A26" s="287">
        <v>1</v>
      </c>
      <c r="B26" s="287">
        <v>1</v>
      </c>
      <c r="C26" s="288">
        <f t="shared" ref="C26:C27" si="52">B26*A$26</f>
        <v>1</v>
      </c>
      <c r="D26" s="301">
        <f t="shared" si="14"/>
        <v>1000</v>
      </c>
      <c r="E26" s="279">
        <f t="shared" si="15"/>
        <v>1.1959123885022965E-2</v>
      </c>
      <c r="F26" s="279">
        <f t="shared" si="16"/>
        <v>-57.197405623382181</v>
      </c>
      <c r="G26" s="297">
        <f t="shared" si="17"/>
        <v>1000</v>
      </c>
      <c r="H26" s="279">
        <f t="shared" si="18"/>
        <v>57.209364747267202</v>
      </c>
      <c r="I26" s="279">
        <f t="shared" si="19"/>
        <v>3.7770552437446838</v>
      </c>
      <c r="J26" s="279">
        <f t="shared" si="20"/>
        <v>1000</v>
      </c>
      <c r="K26" s="280">
        <v>1</v>
      </c>
      <c r="L26" s="279">
        <f t="shared" si="21"/>
        <v>7.0685834705770348E-2</v>
      </c>
      <c r="M26" s="279">
        <f t="shared" si="22"/>
        <v>-6.661982970735316E-9</v>
      </c>
      <c r="N26" s="279">
        <f t="shared" si="23"/>
        <v>4.8066367599923837E-6</v>
      </c>
      <c r="O26" s="279">
        <f t="shared" si="24"/>
        <v>14417.504022731753</v>
      </c>
      <c r="P26" s="279">
        <f t="shared" si="25"/>
        <v>-208065.65985815509</v>
      </c>
      <c r="Q26" s="279">
        <f t="shared" si="26"/>
        <v>-1068215427551.6879</v>
      </c>
      <c r="R26" s="279">
        <f t="shared" si="27"/>
        <v>-74019904266.614334</v>
      </c>
      <c r="S26" s="279">
        <f t="shared" si="28"/>
        <v>17417.504022731751</v>
      </c>
      <c r="T26" s="298">
        <f t="shared" si="29"/>
        <v>-5342096.0821773596</v>
      </c>
      <c r="U26" s="299">
        <f t="shared" si="30"/>
        <v>13203.865484281523</v>
      </c>
      <c r="V26" s="299">
        <f t="shared" si="31"/>
        <v>-200004.90247573258</v>
      </c>
      <c r="W26" s="300">
        <f t="shared" ref="W26:X26" si="53">IF($L$2=1,$B$3*1000000*$B$2*0.001*U26,$B$3*1000000*$B$2*0.001*W4)</f>
        <v>462135291.9498533</v>
      </c>
      <c r="X26" s="279">
        <f t="shared" si="53"/>
        <v>-7000171586.6506405</v>
      </c>
      <c r="Y26" s="280">
        <v>0</v>
      </c>
      <c r="Z26" s="279">
        <f t="shared" si="33"/>
        <v>6283.1853071795858</v>
      </c>
      <c r="AA26" s="279">
        <f t="shared" si="34"/>
        <v>-1114111.9105068855</v>
      </c>
      <c r="AB26" s="279">
        <f t="shared" si="35"/>
        <v>-73551.11609103535</v>
      </c>
      <c r="AC26" s="279">
        <f t="shared" si="36"/>
        <v>-723.64221234828176</v>
      </c>
      <c r="AD26" s="279">
        <f t="shared" si="37"/>
        <v>-47.773201118177241</v>
      </c>
      <c r="AE26" s="279">
        <f t="shared" si="38"/>
        <v>-722.64221234828176</v>
      </c>
      <c r="AF26" s="279">
        <f t="shared" si="39"/>
        <v>-47.773201118177241</v>
      </c>
      <c r="AG26" s="279">
        <f t="shared" si="40"/>
        <v>1.0013777891629418</v>
      </c>
      <c r="AH26" s="282">
        <f t="shared" si="41"/>
        <v>-9.1084353577657384E-5</v>
      </c>
      <c r="AI26" s="279">
        <f t="shared" si="42"/>
        <v>725.21743652327712</v>
      </c>
      <c r="AJ26" s="279">
        <f t="shared" si="43"/>
        <v>3.7770552437446838</v>
      </c>
      <c r="AK26" s="279">
        <f t="shared" si="44"/>
        <v>57.209364747267202</v>
      </c>
      <c r="AL26" s="279">
        <f t="shared" si="45"/>
        <v>1.001377793305414</v>
      </c>
      <c r="AM26" s="86">
        <f t="shared" si="46"/>
        <v>-3.0756706035567314</v>
      </c>
      <c r="AN26" s="279">
        <f t="shared" si="47"/>
        <v>1.1959123885022965E-2</v>
      </c>
      <c r="AO26" s="279">
        <f t="shared" si="48"/>
        <v>-1.3777891629418915E-3</v>
      </c>
      <c r="AP26" s="86">
        <f t="shared" si="49"/>
        <v>9.1084353577652668E-5</v>
      </c>
      <c r="AQ26" s="279">
        <f t="shared" si="50"/>
        <v>1.3807966312917976E-3</v>
      </c>
      <c r="AR26" s="279">
        <f t="shared" si="51"/>
        <v>-57.197405623382181</v>
      </c>
    </row>
    <row r="27" spans="1:44" ht="15" customHeight="1">
      <c r="B27" s="280">
        <v>4</v>
      </c>
      <c r="C27" s="279">
        <f t="shared" si="52"/>
        <v>4</v>
      </c>
      <c r="D27" s="297">
        <f t="shared" si="14"/>
        <v>4000</v>
      </c>
      <c r="E27" s="279">
        <f t="shared" si="15"/>
        <v>0.18055286769558396</v>
      </c>
      <c r="F27" s="279">
        <f t="shared" si="16"/>
        <v>-33.257473533950694</v>
      </c>
      <c r="G27" s="297">
        <f t="shared" si="17"/>
        <v>4000</v>
      </c>
      <c r="H27" s="279">
        <f t="shared" si="18"/>
        <v>33.438026401646276</v>
      </c>
      <c r="I27" s="279">
        <f t="shared" si="19"/>
        <v>14.72312087996724</v>
      </c>
      <c r="J27" s="279">
        <f t="shared" si="20"/>
        <v>4000</v>
      </c>
      <c r="K27" s="280">
        <v>1</v>
      </c>
      <c r="L27" s="279">
        <f t="shared" si="21"/>
        <v>0.28274333882308139</v>
      </c>
      <c r="M27" s="279">
        <f t="shared" si="22"/>
        <v>-1.0659172753176506E-7</v>
      </c>
      <c r="N27" s="279">
        <f t="shared" si="23"/>
        <v>1.9226547039969535E-5</v>
      </c>
      <c r="O27" s="279">
        <f t="shared" si="24"/>
        <v>14417.088597929749</v>
      </c>
      <c r="P27" s="279">
        <f t="shared" si="25"/>
        <v>-52091.347463357044</v>
      </c>
      <c r="Q27" s="279">
        <f t="shared" si="26"/>
        <v>-66859640654.118843</v>
      </c>
      <c r="R27" s="279">
        <f t="shared" si="27"/>
        <v>-18504442865.760662</v>
      </c>
      <c r="S27" s="279">
        <f t="shared" si="28"/>
        <v>17417.088597929749</v>
      </c>
      <c r="T27" s="298">
        <f t="shared" si="29"/>
        <v>-1335598.9530431582</v>
      </c>
      <c r="U27" s="299">
        <f t="shared" si="30"/>
        <v>13199.734162055574</v>
      </c>
      <c r="V27" s="299">
        <f t="shared" si="31"/>
        <v>-50231.801575334553</v>
      </c>
      <c r="W27" s="300">
        <f t="shared" ref="W27:X27" si="54">IF($L$2=1,$B$3*1000000*$B$2*0.001*U27,$B$3*1000000*$B$2*0.001*W5)</f>
        <v>461990695.6719451</v>
      </c>
      <c r="X27" s="279">
        <f t="shared" si="54"/>
        <v>-1758113055.1367095</v>
      </c>
      <c r="Y27" s="280">
        <v>0</v>
      </c>
      <c r="Z27" s="279">
        <f t="shared" si="33"/>
        <v>25132.741228718343</v>
      </c>
      <c r="AA27" s="279">
        <f t="shared" si="34"/>
        <v>-69953.095809850318</v>
      </c>
      <c r="AB27" s="279">
        <f t="shared" si="35"/>
        <v>-18382.02571966339</v>
      </c>
      <c r="AC27" s="279">
        <f t="shared" si="36"/>
        <v>-45.436201278398009</v>
      </c>
      <c r="AD27" s="279">
        <f t="shared" si="37"/>
        <v>-11.939563372200411</v>
      </c>
      <c r="AE27" s="279">
        <f t="shared" si="38"/>
        <v>-44.436201278398009</v>
      </c>
      <c r="AF27" s="279">
        <f t="shared" si="39"/>
        <v>-11.939563372200411</v>
      </c>
      <c r="AG27" s="279">
        <f t="shared" si="40"/>
        <v>1.0209888948529415</v>
      </c>
      <c r="AH27" s="282">
        <f t="shared" si="41"/>
        <v>-5.6395063709230456E-3</v>
      </c>
      <c r="AI27" s="279">
        <f t="shared" si="42"/>
        <v>46.978735190827415</v>
      </c>
      <c r="AJ27" s="279">
        <f t="shared" si="43"/>
        <v>14.72312087996724</v>
      </c>
      <c r="AK27" s="279">
        <f t="shared" si="44"/>
        <v>33.438026401646276</v>
      </c>
      <c r="AL27" s="279">
        <f t="shared" si="45"/>
        <v>1.0210044698458174</v>
      </c>
      <c r="AM27" s="86">
        <f t="shared" si="46"/>
        <v>-2.8846257180652399</v>
      </c>
      <c r="AN27" s="279">
        <f t="shared" si="47"/>
        <v>0.18055286769558396</v>
      </c>
      <c r="AO27" s="279">
        <f t="shared" si="48"/>
        <v>-2.0988894852941406E-2</v>
      </c>
      <c r="AP27" s="86">
        <f t="shared" si="49"/>
        <v>5.6395063709230586E-3</v>
      </c>
      <c r="AQ27" s="279">
        <f t="shared" si="50"/>
        <v>2.173333244708487E-2</v>
      </c>
      <c r="AR27" s="279">
        <f t="shared" si="51"/>
        <v>-33.257473533950694</v>
      </c>
    </row>
    <row r="28" spans="1:44" ht="15" customHeight="1">
      <c r="A28" s="287">
        <v>10</v>
      </c>
      <c r="B28" s="287">
        <v>1</v>
      </c>
      <c r="C28" s="288">
        <f t="shared" ref="C28:C31" si="55">B28*A$28</f>
        <v>10</v>
      </c>
      <c r="D28" s="301">
        <f t="shared" si="14"/>
        <v>10000</v>
      </c>
      <c r="E28" s="279">
        <f t="shared" si="15"/>
        <v>0.84930715918725597</v>
      </c>
      <c r="F28" s="279">
        <f t="shared" si="16"/>
        <v>-18.089703154398812</v>
      </c>
      <c r="G28" s="297">
        <f t="shared" si="17"/>
        <v>10000</v>
      </c>
      <c r="H28" s="279">
        <f t="shared" si="18"/>
        <v>18.939010313586063</v>
      </c>
      <c r="I28" s="279">
        <f t="shared" si="19"/>
        <v>32.594392111471734</v>
      </c>
      <c r="J28" s="279">
        <f t="shared" si="20"/>
        <v>10000</v>
      </c>
      <c r="K28" s="280">
        <v>1</v>
      </c>
      <c r="L28" s="279">
        <f t="shared" si="21"/>
        <v>0.70685834705770345</v>
      </c>
      <c r="M28" s="279">
        <f t="shared" si="22"/>
        <v>-6.661982970735316E-7</v>
      </c>
      <c r="N28" s="279">
        <f t="shared" si="23"/>
        <v>4.8066367599923839E-5</v>
      </c>
      <c r="O28" s="279">
        <f t="shared" si="24"/>
        <v>14414.762661378967</v>
      </c>
      <c r="P28" s="279">
        <f t="shared" si="25"/>
        <v>-21004.355867725884</v>
      </c>
      <c r="Q28" s="279">
        <f t="shared" si="26"/>
        <v>-10783700202.612358</v>
      </c>
      <c r="R28" s="279">
        <f t="shared" si="27"/>
        <v>-7400583003.4030552</v>
      </c>
      <c r="S28" s="279">
        <f t="shared" si="28"/>
        <v>17414.762661378969</v>
      </c>
      <c r="T28" s="298">
        <f t="shared" si="29"/>
        <v>-534407.39809964632</v>
      </c>
      <c r="U28" s="299">
        <f t="shared" si="30"/>
        <v>13176.644482633423</v>
      </c>
      <c r="V28" s="299">
        <f t="shared" si="31"/>
        <v>-20608.188393561977</v>
      </c>
      <c r="W28" s="300">
        <f t="shared" ref="W28:X28" si="56">IF($L$2=1,$B$3*1000000*$B$2*0.001*U28,$B$3*1000000*$B$2*0.001*W6)</f>
        <v>461182556.89216977</v>
      </c>
      <c r="X28" s="279">
        <f t="shared" si="56"/>
        <v>-721286593.77466917</v>
      </c>
      <c r="Y28" s="280">
        <v>0</v>
      </c>
      <c r="Z28" s="279">
        <f t="shared" si="33"/>
        <v>62831.853071795864</v>
      </c>
      <c r="AA28" s="279">
        <f t="shared" si="34"/>
        <v>-11479.632678515451</v>
      </c>
      <c r="AB28" s="279">
        <f t="shared" si="35"/>
        <v>-7339.9483597148064</v>
      </c>
      <c r="AC28" s="279">
        <f t="shared" si="36"/>
        <v>-7.4562947492833684</v>
      </c>
      <c r="AD28" s="279">
        <f t="shared" si="37"/>
        <v>-4.7674712203099974</v>
      </c>
      <c r="AE28" s="279">
        <f t="shared" si="38"/>
        <v>-6.4562947492833684</v>
      </c>
      <c r="AF28" s="279">
        <f t="shared" si="39"/>
        <v>-4.7674712203099974</v>
      </c>
      <c r="AG28" s="279">
        <f t="shared" si="40"/>
        <v>1.1002335318630974</v>
      </c>
      <c r="AH28" s="282">
        <f t="shared" si="41"/>
        <v>-7.401466274760507E-2</v>
      </c>
      <c r="AI28" s="279">
        <f t="shared" si="42"/>
        <v>8.8501476385806601</v>
      </c>
      <c r="AJ28" s="279">
        <f t="shared" si="43"/>
        <v>32.594392111471734</v>
      </c>
      <c r="AK28" s="279">
        <f t="shared" si="44"/>
        <v>18.939010313586063</v>
      </c>
      <c r="AL28" s="279">
        <f t="shared" si="45"/>
        <v>1.1027202704845809</v>
      </c>
      <c r="AM28" s="86">
        <f t="shared" si="46"/>
        <v>-2.572713193558545</v>
      </c>
      <c r="AN28" s="279">
        <f t="shared" si="47"/>
        <v>0.84930715918725597</v>
      </c>
      <c r="AO28" s="279">
        <f t="shared" si="48"/>
        <v>-0.10023353186309733</v>
      </c>
      <c r="AP28" s="86">
        <f t="shared" si="49"/>
        <v>7.4014662747605028E-2</v>
      </c>
      <c r="AQ28" s="279">
        <f t="shared" si="50"/>
        <v>0.12459908190429117</v>
      </c>
      <c r="AR28" s="279">
        <f t="shared" si="51"/>
        <v>-18.089703154398812</v>
      </c>
    </row>
    <row r="29" spans="1:44" ht="15" customHeight="1">
      <c r="B29" s="280">
        <v>2</v>
      </c>
      <c r="C29" s="279">
        <f t="shared" si="55"/>
        <v>20</v>
      </c>
      <c r="D29" s="297">
        <f t="shared" si="14"/>
        <v>20000</v>
      </c>
      <c r="E29" s="279">
        <f t="shared" si="15"/>
        <v>1.6389911708316707</v>
      </c>
      <c r="F29" s="279">
        <f t="shared" si="16"/>
        <v>-8.2421311814909046</v>
      </c>
      <c r="G29" s="297">
        <f t="shared" si="17"/>
        <v>20000</v>
      </c>
      <c r="H29" s="279">
        <f t="shared" si="18"/>
        <v>9.8811223523225742</v>
      </c>
      <c r="I29" s="279">
        <f t="shared" si="19"/>
        <v>49.415295352360829</v>
      </c>
      <c r="J29" s="279">
        <f t="shared" si="20"/>
        <v>20000</v>
      </c>
      <c r="K29" s="280">
        <v>1</v>
      </c>
      <c r="L29" s="279">
        <f t="shared" si="21"/>
        <v>1.4137166941154069</v>
      </c>
      <c r="M29" s="279">
        <f t="shared" si="22"/>
        <v>-2.6647931882941264E-6</v>
      </c>
      <c r="N29" s="279">
        <f t="shared" si="23"/>
        <v>9.6132735199847677E-5</v>
      </c>
      <c r="O29" s="279">
        <f t="shared" si="24"/>
        <v>14406.461868092987</v>
      </c>
      <c r="P29" s="279">
        <f t="shared" si="25"/>
        <v>-10801.630051353815</v>
      </c>
      <c r="Q29" s="279">
        <f t="shared" si="26"/>
        <v>-2772794864.7143917</v>
      </c>
      <c r="R29" s="279">
        <f t="shared" si="27"/>
        <v>-3698160675.4385476</v>
      </c>
      <c r="S29" s="279">
        <f t="shared" si="28"/>
        <v>17406.461868092985</v>
      </c>
      <c r="T29" s="298">
        <f t="shared" si="29"/>
        <v>-267503.15116731403</v>
      </c>
      <c r="U29" s="299">
        <f t="shared" si="30"/>
        <v>13094.809747171048</v>
      </c>
      <c r="V29" s="299">
        <f t="shared" si="31"/>
        <v>-11217.547001424307</v>
      </c>
      <c r="W29" s="300">
        <f t="shared" ref="W29:X29" si="57">IF($L$2=1,$B$3*1000000*$B$2*0.001*U29,$B$3*1000000*$B$2*0.001*W7)</f>
        <v>458318341.15098667</v>
      </c>
      <c r="X29" s="279">
        <f t="shared" si="57"/>
        <v>-392614145.04985076</v>
      </c>
      <c r="Y29" s="280">
        <v>0</v>
      </c>
      <c r="Z29" s="279">
        <f t="shared" si="33"/>
        <v>125663.70614359173</v>
      </c>
      <c r="AA29" s="279">
        <f t="shared" si="34"/>
        <v>-3124.324095624107</v>
      </c>
      <c r="AB29" s="279">
        <f t="shared" si="35"/>
        <v>-3647.1814751928582</v>
      </c>
      <c r="AC29" s="279">
        <f t="shared" si="36"/>
        <v>-2.0293228887768007</v>
      </c>
      <c r="AD29" s="279">
        <f t="shared" si="37"/>
        <v>-2.3689312057919323</v>
      </c>
      <c r="AE29" s="279">
        <f t="shared" si="38"/>
        <v>-1.0293228887768007</v>
      </c>
      <c r="AF29" s="279">
        <f t="shared" si="39"/>
        <v>-2.3689312057919323</v>
      </c>
      <c r="AG29" s="279">
        <f t="shared" si="40"/>
        <v>1.1542902604041203</v>
      </c>
      <c r="AH29" s="282">
        <f t="shared" si="41"/>
        <v>-0.35509072673535003</v>
      </c>
      <c r="AI29" s="279">
        <f t="shared" si="42"/>
        <v>3.1192926192789665</v>
      </c>
      <c r="AJ29" s="279">
        <f t="shared" si="43"/>
        <v>49.415295352360829</v>
      </c>
      <c r="AK29" s="279">
        <f t="shared" si="44"/>
        <v>9.8811223523225742</v>
      </c>
      <c r="AL29" s="279">
        <f t="shared" si="45"/>
        <v>1.2076735608090667</v>
      </c>
      <c r="AM29" s="86">
        <f t="shared" si="46"/>
        <v>-2.2791330488456452</v>
      </c>
      <c r="AN29" s="279">
        <f t="shared" si="47"/>
        <v>1.6389911708316707</v>
      </c>
      <c r="AO29" s="279">
        <f t="shared" si="48"/>
        <v>-0.15429026040412031</v>
      </c>
      <c r="AP29" s="86">
        <f t="shared" si="49"/>
        <v>0.35509072673534992</v>
      </c>
      <c r="AQ29" s="279">
        <f t="shared" si="50"/>
        <v>0.38716263852418686</v>
      </c>
      <c r="AR29" s="279">
        <f t="shared" si="51"/>
        <v>-8.2421311814909046</v>
      </c>
    </row>
    <row r="30" spans="1:44" ht="15" customHeight="1">
      <c r="B30" s="280">
        <v>4</v>
      </c>
      <c r="C30" s="279">
        <f t="shared" si="55"/>
        <v>40</v>
      </c>
      <c r="D30" s="297">
        <f t="shared" si="14"/>
        <v>40000</v>
      </c>
      <c r="E30" s="279">
        <f t="shared" si="15"/>
        <v>0.90622719499812798</v>
      </c>
      <c r="F30" s="279">
        <f t="shared" si="16"/>
        <v>-1.6018678808400824</v>
      </c>
      <c r="G30" s="297">
        <f t="shared" si="17"/>
        <v>40000</v>
      </c>
      <c r="H30" s="279">
        <f t="shared" si="18"/>
        <v>2.5080950758382112</v>
      </c>
      <c r="I30" s="279">
        <f t="shared" si="19"/>
        <v>59.980896896719798</v>
      </c>
      <c r="J30" s="279">
        <f t="shared" si="20"/>
        <v>40000</v>
      </c>
      <c r="K30" s="280">
        <v>1</v>
      </c>
      <c r="L30" s="279">
        <f t="shared" si="21"/>
        <v>2.8274333882308138</v>
      </c>
      <c r="M30" s="279">
        <f t="shared" si="22"/>
        <v>-1.0659172753176506E-5</v>
      </c>
      <c r="N30" s="279">
        <f t="shared" si="23"/>
        <v>1.9226547039969535E-4</v>
      </c>
      <c r="O30" s="279">
        <f t="shared" si="24"/>
        <v>14373.354076084323</v>
      </c>
      <c r="P30" s="279">
        <f t="shared" si="25"/>
        <v>-5997.9988176877741</v>
      </c>
      <c r="Q30" s="279">
        <f t="shared" si="26"/>
        <v>-769847710.07609129</v>
      </c>
      <c r="R30" s="279">
        <f t="shared" si="27"/>
        <v>-1844830927.4345663</v>
      </c>
      <c r="S30" s="279">
        <f t="shared" si="28"/>
        <v>17373.354076084324</v>
      </c>
      <c r="T30" s="298">
        <f t="shared" si="29"/>
        <v>-134348.75937566787</v>
      </c>
      <c r="U30" s="299">
        <f t="shared" si="30"/>
        <v>12776.988187970283</v>
      </c>
      <c r="V30" s="299">
        <f t="shared" si="31"/>
        <v>-7382.4786659792371</v>
      </c>
      <c r="W30" s="300">
        <f t="shared" ref="W30:X30" si="58">IF($L$2=1,$B$3*1000000*$B$2*0.001*U30,$B$3*1000000*$B$2*0.001*W8)</f>
        <v>447194586.57895988</v>
      </c>
      <c r="X30" s="279">
        <f t="shared" si="58"/>
        <v>-258386753.3092733</v>
      </c>
      <c r="Y30" s="280">
        <v>0</v>
      </c>
      <c r="Z30" s="279">
        <f t="shared" si="33"/>
        <v>251327.41228718346</v>
      </c>
      <c r="AA30" s="279">
        <f t="shared" si="34"/>
        <v>-1028.0882254659248</v>
      </c>
      <c r="AB30" s="279">
        <f t="shared" si="35"/>
        <v>-1779.3307244494506</v>
      </c>
      <c r="AC30" s="279">
        <f t="shared" si="36"/>
        <v>-0.66776778073120058</v>
      </c>
      <c r="AD30" s="279">
        <f t="shared" si="37"/>
        <v>-1.1557176705471668</v>
      </c>
      <c r="AE30" s="279">
        <f t="shared" si="38"/>
        <v>0.33223221926879942</v>
      </c>
      <c r="AF30" s="279">
        <f t="shared" si="39"/>
        <v>-1.1557176705471668</v>
      </c>
      <c r="AG30" s="279">
        <f t="shared" si="40"/>
        <v>0.7702502967293563</v>
      </c>
      <c r="AH30" s="282">
        <f t="shared" si="41"/>
        <v>-0.79921746439053798</v>
      </c>
      <c r="AI30" s="279">
        <f t="shared" si="42"/>
        <v>1.3347648268506489</v>
      </c>
      <c r="AJ30" s="279">
        <f t="shared" si="43"/>
        <v>59.980896896719798</v>
      </c>
      <c r="AK30" s="279">
        <f t="shared" si="44"/>
        <v>2.5080950758382112</v>
      </c>
      <c r="AL30" s="279">
        <f t="shared" si="45"/>
        <v>1.1099703036561392</v>
      </c>
      <c r="AM30" s="86">
        <f t="shared" si="46"/>
        <v>-2.0947285144427834</v>
      </c>
      <c r="AN30" s="279">
        <f t="shared" si="47"/>
        <v>0.90622719499812798</v>
      </c>
      <c r="AO30" s="279">
        <f t="shared" si="48"/>
        <v>0.2297497032706437</v>
      </c>
      <c r="AP30" s="86">
        <f t="shared" si="49"/>
        <v>0.79921746439053798</v>
      </c>
      <c r="AQ30" s="279">
        <f t="shared" si="50"/>
        <v>0.83158492142401763</v>
      </c>
      <c r="AR30" s="279">
        <f t="shared" si="51"/>
        <v>-1.6018678808400824</v>
      </c>
    </row>
    <row r="31" spans="1:44" ht="15" customHeight="1">
      <c r="B31" s="280">
        <v>8</v>
      </c>
      <c r="C31" s="279">
        <f t="shared" si="55"/>
        <v>80</v>
      </c>
      <c r="D31" s="297">
        <f t="shared" si="14"/>
        <v>80000</v>
      </c>
      <c r="E31" s="279">
        <f t="shared" si="15"/>
        <v>-3.0449466333143866</v>
      </c>
      <c r="F31" s="279">
        <f t="shared" si="16"/>
        <v>1.2326591096212942</v>
      </c>
      <c r="G31" s="297">
        <f t="shared" si="17"/>
        <v>80000</v>
      </c>
      <c r="H31" s="279">
        <f t="shared" si="18"/>
        <v>-4.2776057429356804</v>
      </c>
      <c r="I31" s="279">
        <f t="shared" si="19"/>
        <v>59.487074841335414</v>
      </c>
      <c r="J31" s="279">
        <f t="shared" si="20"/>
        <v>80000</v>
      </c>
      <c r="K31" s="280">
        <v>1</v>
      </c>
      <c r="L31" s="279">
        <f t="shared" si="21"/>
        <v>5.6548667764616276</v>
      </c>
      <c r="M31" s="279">
        <f t="shared" si="22"/>
        <v>-4.2636691012706023E-5</v>
      </c>
      <c r="N31" s="279">
        <f t="shared" si="23"/>
        <v>3.8453094079939071E-4</v>
      </c>
      <c r="O31" s="279">
        <f t="shared" si="24"/>
        <v>14242.430761349047</v>
      </c>
      <c r="P31" s="279">
        <f t="shared" si="25"/>
        <v>-4179.7679955226258</v>
      </c>
      <c r="Q31" s="279">
        <f t="shared" si="26"/>
        <v>-268238200.59061649</v>
      </c>
      <c r="R31" s="279">
        <f t="shared" si="27"/>
        <v>-914013410.20676088</v>
      </c>
      <c r="S31" s="279">
        <f t="shared" si="28"/>
        <v>17242.430761349045</v>
      </c>
      <c r="T31" s="298">
        <f t="shared" si="29"/>
        <v>-68355.14827451267</v>
      </c>
      <c r="U31" s="299">
        <f t="shared" si="30"/>
        <v>11640.968460535989</v>
      </c>
      <c r="V31" s="299">
        <f t="shared" si="31"/>
        <v>-6860.5921441811061</v>
      </c>
      <c r="W31" s="300">
        <f t="shared" ref="W31:X31" si="59">IF($L$2=1,$B$3*1000000*$B$2*0.001*U31,$B$3*1000000*$B$2*0.001*W9)</f>
        <v>407433896.11875963</v>
      </c>
      <c r="X31" s="279">
        <f t="shared" si="59"/>
        <v>-240120725.04633871</v>
      </c>
      <c r="Y31" s="280">
        <v>0</v>
      </c>
      <c r="Z31" s="279">
        <f t="shared" si="33"/>
        <v>502654.82457436691</v>
      </c>
      <c r="AA31" s="279">
        <f t="shared" si="34"/>
        <v>-477.70500412418357</v>
      </c>
      <c r="AB31" s="279">
        <f t="shared" si="35"/>
        <v>-810.56398188112985</v>
      </c>
      <c r="AC31" s="279">
        <f t="shared" si="36"/>
        <v>-0.31028077410732685</v>
      </c>
      <c r="AD31" s="279">
        <f t="shared" si="37"/>
        <v>-0.52648060537421948</v>
      </c>
      <c r="AE31" s="279">
        <f t="shared" si="38"/>
        <v>0.6897192258926732</v>
      </c>
      <c r="AF31" s="279">
        <f t="shared" si="39"/>
        <v>-0.52648060537421948</v>
      </c>
      <c r="AG31" s="279">
        <f t="shared" si="40"/>
        <v>8.3909787728908308E-2</v>
      </c>
      <c r="AH31" s="282">
        <f t="shared" si="41"/>
        <v>-0.69927546083648329</v>
      </c>
      <c r="AI31" s="279">
        <f t="shared" si="42"/>
        <v>0.61111045369544004</v>
      </c>
      <c r="AJ31" s="279">
        <f t="shared" si="43"/>
        <v>59.487074841335414</v>
      </c>
      <c r="AK31" s="279">
        <f t="shared" si="44"/>
        <v>-4.2776057429356804</v>
      </c>
      <c r="AL31" s="279">
        <f t="shared" si="45"/>
        <v>0.70429185896529178</v>
      </c>
      <c r="AM31" s="86">
        <f t="shared" si="46"/>
        <v>-2.1033473352282068</v>
      </c>
      <c r="AN31" s="279">
        <f t="shared" si="47"/>
        <v>-3.0449466333143866</v>
      </c>
      <c r="AO31" s="279">
        <f t="shared" si="48"/>
        <v>0.91609021227109166</v>
      </c>
      <c r="AP31" s="86">
        <f t="shared" si="49"/>
        <v>0.69927546083648329</v>
      </c>
      <c r="AQ31" s="279">
        <f t="shared" si="50"/>
        <v>1.1524788272011637</v>
      </c>
      <c r="AR31" s="279">
        <f t="shared" si="51"/>
        <v>1.2326591096212942</v>
      </c>
    </row>
    <row r="32" spans="1:44" ht="15" customHeight="1">
      <c r="A32" s="287">
        <v>100</v>
      </c>
      <c r="B32" s="287">
        <v>1</v>
      </c>
      <c r="C32" s="288">
        <f t="shared" ref="C32:C34" si="60">B32*A$32</f>
        <v>100</v>
      </c>
      <c r="D32" s="301">
        <f t="shared" si="14"/>
        <v>100000</v>
      </c>
      <c r="E32" s="279">
        <f t="shared" si="15"/>
        <v>-5.0252408328323188</v>
      </c>
      <c r="F32" s="279">
        <f t="shared" si="16"/>
        <v>1.5074585008776842</v>
      </c>
      <c r="G32" s="297">
        <f t="shared" si="17"/>
        <v>100000</v>
      </c>
      <c r="H32" s="279">
        <f t="shared" si="18"/>
        <v>-6.532699333710001</v>
      </c>
      <c r="I32" s="279">
        <f t="shared" si="19"/>
        <v>56.854572894845916</v>
      </c>
      <c r="J32" s="279">
        <f t="shared" si="20"/>
        <v>100000</v>
      </c>
      <c r="K32" s="280">
        <v>1</v>
      </c>
      <c r="L32" s="279">
        <f t="shared" si="21"/>
        <v>7.0685834705770345</v>
      </c>
      <c r="M32" s="279">
        <f t="shared" si="22"/>
        <v>-6.6619829707353163E-5</v>
      </c>
      <c r="N32" s="279">
        <f t="shared" si="23"/>
        <v>4.8066367599923835E-4</v>
      </c>
      <c r="O32" s="279">
        <f t="shared" si="24"/>
        <v>14145.792874177283</v>
      </c>
      <c r="P32" s="279">
        <f t="shared" si="25"/>
        <v>-4041.0590800629966</v>
      </c>
      <c r="Q32" s="279">
        <f t="shared" si="26"/>
        <v>-207469202.5543268</v>
      </c>
      <c r="R32" s="279">
        <f t="shared" si="27"/>
        <v>-726249309.63852382</v>
      </c>
      <c r="S32" s="279">
        <f t="shared" si="28"/>
        <v>17145.792874177285</v>
      </c>
      <c r="T32" s="298">
        <f t="shared" si="29"/>
        <v>-55381.363303255035</v>
      </c>
      <c r="U32" s="299">
        <f t="shared" si="30"/>
        <v>10908.256436776061</v>
      </c>
      <c r="V32" s="299">
        <f t="shared" si="31"/>
        <v>-7123.3332750859454</v>
      </c>
      <c r="W32" s="300">
        <f t="shared" ref="W32:X32" si="61">IF($L$2=1,$B$3*1000000*$B$2*0.001*U32,$B$3*1000000*$B$2*0.001*W10)</f>
        <v>381788975.28716213</v>
      </c>
      <c r="X32" s="279">
        <f t="shared" si="61"/>
        <v>-249316664.6280081</v>
      </c>
      <c r="Y32" s="280">
        <v>0</v>
      </c>
      <c r="Z32" s="279">
        <f t="shared" si="33"/>
        <v>628318.53071795858</v>
      </c>
      <c r="AA32" s="279">
        <f t="shared" si="34"/>
        <v>-396.79979570731791</v>
      </c>
      <c r="AB32" s="279">
        <f t="shared" si="35"/>
        <v>-607.63602634941333</v>
      </c>
      <c r="AC32" s="279">
        <f t="shared" si="36"/>
        <v>-0.25773091492608646</v>
      </c>
      <c r="AD32" s="279">
        <f t="shared" si="37"/>
        <v>-0.39467406663838078</v>
      </c>
      <c r="AE32" s="279">
        <f t="shared" si="38"/>
        <v>0.74226908507391354</v>
      </c>
      <c r="AF32" s="279">
        <f t="shared" si="39"/>
        <v>-0.39467406663838078</v>
      </c>
      <c r="AG32" s="279">
        <f t="shared" si="40"/>
        <v>-5.0285145069405131E-2</v>
      </c>
      <c r="AH32" s="282">
        <f t="shared" si="41"/>
        <v>-0.55845018696036186</v>
      </c>
      <c r="AI32" s="279">
        <f t="shared" si="42"/>
        <v>0.47137335879906772</v>
      </c>
      <c r="AJ32" s="279">
        <f t="shared" si="43"/>
        <v>56.854572894845916</v>
      </c>
      <c r="AK32" s="279">
        <f t="shared" si="44"/>
        <v>-6.532699333710001</v>
      </c>
      <c r="AL32" s="279">
        <f t="shared" si="45"/>
        <v>0.56070955683911272</v>
      </c>
      <c r="AM32" s="86">
        <f t="shared" si="46"/>
        <v>-2.1492931617596081</v>
      </c>
      <c r="AN32" s="279">
        <f t="shared" si="47"/>
        <v>-5.0252408328323188</v>
      </c>
      <c r="AO32" s="279">
        <f t="shared" si="48"/>
        <v>1.0502851450694051</v>
      </c>
      <c r="AP32" s="86">
        <f t="shared" si="49"/>
        <v>0.55845018696036186</v>
      </c>
      <c r="AQ32" s="279">
        <f t="shared" si="50"/>
        <v>1.1895232226692862</v>
      </c>
      <c r="AR32" s="279">
        <f t="shared" si="51"/>
        <v>1.5074585008776842</v>
      </c>
    </row>
    <row r="33" spans="1:44" ht="15" customHeight="1">
      <c r="A33" s="280">
        <v>100</v>
      </c>
      <c r="B33" s="280">
        <v>2</v>
      </c>
      <c r="C33" s="279">
        <f t="shared" si="60"/>
        <v>200</v>
      </c>
      <c r="D33" s="297">
        <f t="shared" si="14"/>
        <v>200000</v>
      </c>
      <c r="E33" s="279">
        <f t="shared" si="15"/>
        <v>-13.152618576829759</v>
      </c>
      <c r="F33" s="279">
        <f t="shared" si="16"/>
        <v>1.2300678520962522</v>
      </c>
      <c r="G33" s="297">
        <f t="shared" si="17"/>
        <v>200000</v>
      </c>
      <c r="H33" s="279">
        <f t="shared" si="18"/>
        <v>-14.382686428926011</v>
      </c>
      <c r="I33" s="279">
        <f t="shared" si="19"/>
        <v>42.148388873862189</v>
      </c>
      <c r="J33" s="279">
        <f t="shared" si="20"/>
        <v>200000</v>
      </c>
      <c r="K33" s="280">
        <v>1</v>
      </c>
      <c r="L33" s="279">
        <f t="shared" si="21"/>
        <v>14.137166941154069</v>
      </c>
      <c r="M33" s="279">
        <f t="shared" si="22"/>
        <v>-2.6647931882941265E-4</v>
      </c>
      <c r="N33" s="279">
        <f t="shared" si="23"/>
        <v>9.6132735199847669E-4</v>
      </c>
      <c r="O33" s="279">
        <f t="shared" si="24"/>
        <v>13388.747327612111</v>
      </c>
      <c r="P33" s="279">
        <f t="shared" si="25"/>
        <v>-4751.580466680025</v>
      </c>
      <c r="Q33" s="279">
        <f t="shared" si="26"/>
        <v>-121973793.35016465</v>
      </c>
      <c r="R33" s="279">
        <f t="shared" si="27"/>
        <v>-343691180.4835276</v>
      </c>
      <c r="S33" s="279">
        <f t="shared" si="28"/>
        <v>16388.747327612109</v>
      </c>
      <c r="T33" s="298">
        <f t="shared" si="29"/>
        <v>-30421.732578276045</v>
      </c>
      <c r="U33" s="299">
        <f t="shared" si="30"/>
        <v>7082.2173772574852</v>
      </c>
      <c r="V33" s="299">
        <f t="shared" si="31"/>
        <v>-7824.7504100159586</v>
      </c>
      <c r="W33" s="300">
        <f t="shared" ref="W33:X33" si="62">IF($L$2=1,$B$3*1000000*$B$2*0.001*U33,$B$3*1000000*$B$2*0.001*W11)</f>
        <v>247877608.20401198</v>
      </c>
      <c r="X33" s="279">
        <f t="shared" si="62"/>
        <v>-273866264.35055858</v>
      </c>
      <c r="Y33" s="280">
        <v>0</v>
      </c>
      <c r="Z33" s="279">
        <f t="shared" si="33"/>
        <v>1256637.0614359172</v>
      </c>
      <c r="AA33" s="279">
        <f t="shared" si="34"/>
        <v>-217.93584858751558</v>
      </c>
      <c r="AB33" s="279">
        <f t="shared" si="35"/>
        <v>-197.25473313732329</v>
      </c>
      <c r="AC33" s="279">
        <f t="shared" si="36"/>
        <v>-0.14155452260636725</v>
      </c>
      <c r="AD33" s="279">
        <f t="shared" si="37"/>
        <v>-0.12812164571395662</v>
      </c>
      <c r="AE33" s="279">
        <f t="shared" si="38"/>
        <v>0.85844547739363275</v>
      </c>
      <c r="AF33" s="279">
        <f t="shared" si="39"/>
        <v>-0.12812164571395662</v>
      </c>
      <c r="AG33" s="279">
        <f t="shared" si="40"/>
        <v>-0.13951357203236686</v>
      </c>
      <c r="AH33" s="282">
        <f t="shared" si="41"/>
        <v>-0.17007061951731936</v>
      </c>
      <c r="AI33" s="279">
        <f t="shared" si="42"/>
        <v>0.19092626579590655</v>
      </c>
      <c r="AJ33" s="279">
        <f t="shared" si="43"/>
        <v>42.148388873862189</v>
      </c>
      <c r="AK33" s="279">
        <f t="shared" si="44"/>
        <v>-14.382686428926011</v>
      </c>
      <c r="AL33" s="279">
        <f t="shared" si="45"/>
        <v>0.219972844697329</v>
      </c>
      <c r="AM33" s="86">
        <f t="shared" si="46"/>
        <v>-2.4059644933299529</v>
      </c>
      <c r="AN33" s="279">
        <f t="shared" si="47"/>
        <v>-13.152618576829759</v>
      </c>
      <c r="AO33" s="279">
        <f t="shared" si="48"/>
        <v>1.139513572032367</v>
      </c>
      <c r="AP33" s="86">
        <f t="shared" si="49"/>
        <v>0.17007061951731936</v>
      </c>
      <c r="AQ33" s="279">
        <f t="shared" si="50"/>
        <v>1.1521350599946907</v>
      </c>
      <c r="AR33" s="279">
        <f t="shared" si="51"/>
        <v>1.2300678520962522</v>
      </c>
    </row>
    <row r="34" spans="1:44" ht="15" customHeight="1">
      <c r="B34" s="280">
        <v>4</v>
      </c>
      <c r="C34" s="279">
        <f t="shared" si="60"/>
        <v>400</v>
      </c>
      <c r="D34" s="297">
        <f t="shared" si="14"/>
        <v>400000</v>
      </c>
      <c r="E34" s="279">
        <f t="shared" si="15"/>
        <v>-23.606249982470445</v>
      </c>
      <c r="F34" s="279">
        <f t="shared" si="16"/>
        <v>0.50895422717765548</v>
      </c>
      <c r="G34" s="297">
        <f t="shared" si="17"/>
        <v>400000</v>
      </c>
      <c r="H34" s="279">
        <f t="shared" si="18"/>
        <v>-24.115204209648098</v>
      </c>
      <c r="I34" s="279">
        <f t="shared" si="19"/>
        <v>23.196755822971937</v>
      </c>
      <c r="J34" s="279">
        <f t="shared" si="20"/>
        <v>400000</v>
      </c>
      <c r="K34" s="280">
        <v>1</v>
      </c>
      <c r="L34" s="279">
        <f t="shared" si="21"/>
        <v>28.274333882308138</v>
      </c>
      <c r="M34" s="279">
        <f t="shared" si="22"/>
        <v>-1.0659172753176506E-3</v>
      </c>
      <c r="N34" s="279">
        <f t="shared" si="23"/>
        <v>1.9226547039969534E-3</v>
      </c>
      <c r="O34" s="279">
        <f t="shared" si="24"/>
        <v>11027.991241083451</v>
      </c>
      <c r="P34" s="279">
        <f t="shared" si="25"/>
        <v>-6634.0182402002438</v>
      </c>
      <c r="Q34" s="279">
        <f t="shared" si="26"/>
        <v>-85148128.668521404</v>
      </c>
      <c r="R34" s="279">
        <f t="shared" si="27"/>
        <v>-141545106.32198039</v>
      </c>
      <c r="S34" s="279">
        <f t="shared" si="28"/>
        <v>14027.991241083451</v>
      </c>
      <c r="T34" s="298">
        <f t="shared" si="29"/>
        <v>-19469.094295998253</v>
      </c>
      <c r="U34" s="299">
        <f t="shared" si="30"/>
        <v>2711.3859218992029</v>
      </c>
      <c r="V34" s="299">
        <f t="shared" si="31"/>
        <v>-6327.1267147460449</v>
      </c>
      <c r="W34" s="300">
        <f t="shared" ref="W34:X34" si="63">IF($L$2=1,$B$3*1000000*$B$2*0.001*U34,$B$3*1000000*$B$2*0.001*W12)</f>
        <v>94898507.266472101</v>
      </c>
      <c r="X34" s="279">
        <f t="shared" si="63"/>
        <v>-221449435.01611158</v>
      </c>
      <c r="Y34" s="280">
        <v>0</v>
      </c>
      <c r="Z34" s="279">
        <f t="shared" si="33"/>
        <v>2513274.1228718343</v>
      </c>
      <c r="AA34" s="279">
        <f t="shared" si="34"/>
        <v>-88.111930569304036</v>
      </c>
      <c r="AB34" s="279">
        <f t="shared" si="35"/>
        <v>-37.758916308752958</v>
      </c>
      <c r="AC34" s="279">
        <f t="shared" si="36"/>
        <v>-5.7230796807871756E-2</v>
      </c>
      <c r="AD34" s="279">
        <f t="shared" si="37"/>
        <v>-2.452531516435192E-2</v>
      </c>
      <c r="AE34" s="279">
        <f t="shared" si="38"/>
        <v>0.9427692031921282</v>
      </c>
      <c r="AF34" s="279">
        <f t="shared" si="39"/>
        <v>-2.452531516435192E-2</v>
      </c>
      <c r="AG34" s="279">
        <f t="shared" si="40"/>
        <v>-5.9987661473708667E-2</v>
      </c>
      <c r="AH34" s="282">
        <f t="shared" si="41"/>
        <v>-2.757465069917988E-2</v>
      </c>
      <c r="AI34" s="279">
        <f t="shared" si="42"/>
        <v>6.2264397428825204E-2</v>
      </c>
      <c r="AJ34" s="279">
        <f t="shared" si="43"/>
        <v>23.196755822971937</v>
      </c>
      <c r="AK34" s="279">
        <f t="shared" si="44"/>
        <v>-24.115204209648098</v>
      </c>
      <c r="AL34" s="279">
        <f t="shared" si="45"/>
        <v>6.6021821318909796E-2</v>
      </c>
      <c r="AM34" s="86">
        <f t="shared" si="46"/>
        <v>-2.736732888697766</v>
      </c>
      <c r="AN34" s="279">
        <f t="shared" si="47"/>
        <v>-23.606249982470445</v>
      </c>
      <c r="AO34" s="279">
        <f t="shared" si="48"/>
        <v>1.0599876614737087</v>
      </c>
      <c r="AP34" s="86">
        <f t="shared" si="49"/>
        <v>2.757465069917988E-2</v>
      </c>
      <c r="AQ34" s="279">
        <f t="shared" si="50"/>
        <v>1.0603462660082712</v>
      </c>
      <c r="AR34" s="279">
        <f t="shared" si="51"/>
        <v>0.50895422717765548</v>
      </c>
    </row>
    <row r="35" spans="1:44" ht="15" customHeight="1">
      <c r="A35" s="287">
        <v>1000</v>
      </c>
      <c r="B35" s="287">
        <v>1</v>
      </c>
      <c r="C35" s="288">
        <f>B35*A$35</f>
        <v>1000</v>
      </c>
      <c r="D35" s="301">
        <f t="shared" si="14"/>
        <v>1000000</v>
      </c>
      <c r="E35" s="279">
        <f t="shared" si="15"/>
        <v>-39.080987895177387</v>
      </c>
      <c r="F35" s="279">
        <f t="shared" si="16"/>
        <v>9.5965867115069103E-2</v>
      </c>
      <c r="G35" s="297">
        <f t="shared" si="17"/>
        <v>1000000</v>
      </c>
      <c r="H35" s="279">
        <f t="shared" si="18"/>
        <v>-39.176953762292463</v>
      </c>
      <c r="I35" s="279">
        <f t="shared" si="19"/>
        <v>1.9206397589551329</v>
      </c>
      <c r="J35" s="279">
        <f t="shared" si="20"/>
        <v>1000000</v>
      </c>
      <c r="K35" s="280">
        <v>1</v>
      </c>
      <c r="L35" s="279">
        <f t="shared" si="21"/>
        <v>70.685834705770347</v>
      </c>
      <c r="M35" s="279">
        <f t="shared" si="22"/>
        <v>-6.6619829707353162E-3</v>
      </c>
      <c r="N35" s="279">
        <f t="shared" si="23"/>
        <v>4.8066367599923837E-3</v>
      </c>
      <c r="O35" s="279">
        <f t="shared" si="24"/>
        <v>4935.8424534814985</v>
      </c>
      <c r="P35" s="279">
        <f t="shared" si="25"/>
        <v>-7049.1073203917031</v>
      </c>
      <c r="Q35" s="279">
        <f t="shared" si="26"/>
        <v>-36190331.433084011</v>
      </c>
      <c r="R35" s="279">
        <f t="shared" si="27"/>
        <v>-25340765.315948676</v>
      </c>
      <c r="S35" s="279">
        <f t="shared" si="28"/>
        <v>7935.8424534814985</v>
      </c>
      <c r="T35" s="298">
        <f t="shared" si="29"/>
        <v>-12183.137742710907</v>
      </c>
      <c r="U35" s="299">
        <f t="shared" si="30"/>
        <v>101.83826796359848</v>
      </c>
      <c r="V35" s="299">
        <f t="shared" si="31"/>
        <v>-3036.8616578692568</v>
      </c>
      <c r="W35" s="300">
        <f t="shared" ref="W35:X35" si="64">IF($L$2=1,$B$3*1000000*$B$2*0.001*U35,$B$3*1000000*$B$2*0.001*W13)</f>
        <v>3564339.3787259469</v>
      </c>
      <c r="X35" s="279">
        <f t="shared" si="64"/>
        <v>-106290158.02542399</v>
      </c>
      <c r="Y35" s="280">
        <v>0</v>
      </c>
      <c r="Z35" s="279">
        <f t="shared" si="33"/>
        <v>6283185.307179586</v>
      </c>
      <c r="AA35" s="279">
        <f t="shared" si="34"/>
        <v>-16.916604051764917</v>
      </c>
      <c r="AB35" s="279">
        <f t="shared" si="35"/>
        <v>-0.56728223098132968</v>
      </c>
      <c r="AC35" s="279">
        <f t="shared" si="36"/>
        <v>-1.098773710790826E-2</v>
      </c>
      <c r="AD35" s="279">
        <f t="shared" si="37"/>
        <v>-3.6846331574215884E-4</v>
      </c>
      <c r="AE35" s="279">
        <f t="shared" si="38"/>
        <v>0.98901226289209176</v>
      </c>
      <c r="AF35" s="279">
        <f t="shared" si="39"/>
        <v>-3.6846331574215884E-4</v>
      </c>
      <c r="AG35" s="279">
        <f t="shared" si="40"/>
        <v>-1.1109668425317533E-2</v>
      </c>
      <c r="AH35" s="282">
        <f t="shared" si="41"/>
        <v>-3.7669585604278383E-4</v>
      </c>
      <c r="AI35" s="279">
        <f t="shared" si="42"/>
        <v>1.0993913405496328E-2</v>
      </c>
      <c r="AJ35" s="279">
        <f t="shared" si="43"/>
        <v>1.9206397589551329</v>
      </c>
      <c r="AK35" s="279">
        <f t="shared" si="44"/>
        <v>-39.176953762292463</v>
      </c>
      <c r="AL35" s="279">
        <f t="shared" si="45"/>
        <v>1.1116052909574386E-2</v>
      </c>
      <c r="AM35" s="86">
        <f t="shared" si="46"/>
        <v>-3.1080711660513156</v>
      </c>
      <c r="AN35" s="279">
        <f t="shared" si="47"/>
        <v>-39.080987895177387</v>
      </c>
      <c r="AO35" s="279">
        <f t="shared" si="48"/>
        <v>1.0111096684253174</v>
      </c>
      <c r="AP35" s="86">
        <f t="shared" si="49"/>
        <v>3.7669585604278383E-4</v>
      </c>
      <c r="AQ35" s="279">
        <f t="shared" si="50"/>
        <v>1.01110973859563</v>
      </c>
      <c r="AR35" s="279">
        <f t="shared" si="51"/>
        <v>9.5965867115069103E-2</v>
      </c>
    </row>
    <row r="36" spans="1:44" ht="15" customHeight="1">
      <c r="A36" s="287">
        <v>10000</v>
      </c>
      <c r="B36" s="287">
        <v>1</v>
      </c>
      <c r="C36" s="288">
        <f>B36*A$36</f>
        <v>10000</v>
      </c>
      <c r="D36" s="301">
        <f t="shared" si="14"/>
        <v>10000000</v>
      </c>
      <c r="E36" s="279">
        <f t="shared" si="15"/>
        <v>-84.889987070610985</v>
      </c>
      <c r="F36" s="279">
        <f t="shared" si="16"/>
        <v>2.5536324122834859E-4</v>
      </c>
      <c r="G36" s="297">
        <f t="shared" si="17"/>
        <v>10000000</v>
      </c>
      <c r="H36" s="279">
        <f t="shared" si="18"/>
        <v>-84.890242433852194</v>
      </c>
      <c r="I36" s="279">
        <f t="shared" si="19"/>
        <v>-58.918374611201273</v>
      </c>
      <c r="J36" s="279">
        <f t="shared" si="20"/>
        <v>10000000</v>
      </c>
      <c r="K36" s="280">
        <v>1</v>
      </c>
      <c r="L36" s="279">
        <f t="shared" si="21"/>
        <v>706.85834705770344</v>
      </c>
      <c r="M36" s="279">
        <f t="shared" si="22"/>
        <v>-0.66619829707353173</v>
      </c>
      <c r="N36" s="279">
        <f t="shared" si="23"/>
        <v>4.8066367599923839E-2</v>
      </c>
      <c r="O36" s="279">
        <f t="shared" si="24"/>
        <v>74.664053153790135</v>
      </c>
      <c r="P36" s="279">
        <f t="shared" si="25"/>
        <v>-1055.6459245267174</v>
      </c>
      <c r="Q36" s="279">
        <f t="shared" si="26"/>
        <v>-541971.82917174499</v>
      </c>
      <c r="R36" s="279">
        <f t="shared" si="27"/>
        <v>-38332.752034521669</v>
      </c>
      <c r="S36" s="279">
        <f t="shared" si="28"/>
        <v>3074.6640531537901</v>
      </c>
      <c r="T36" s="298">
        <f t="shared" si="29"/>
        <v>-1569.0489667586378</v>
      </c>
      <c r="U36" s="299">
        <f t="shared" si="30"/>
        <v>-134.80247419998327</v>
      </c>
      <c r="V36" s="299">
        <f t="shared" si="31"/>
        <v>-81.259100368457865</v>
      </c>
      <c r="W36" s="300">
        <f t="shared" ref="W36:X36" si="65">IF($L$2=1,$B$3*1000000*$B$2*0.001*U36,$B$3*1000000*$B$2*0.001*W14)</f>
        <v>-4718086.5969994143</v>
      </c>
      <c r="X36" s="279">
        <f t="shared" si="65"/>
        <v>-2844068.5128960251</v>
      </c>
      <c r="Y36" s="280">
        <v>0</v>
      </c>
      <c r="Z36" s="279">
        <f t="shared" si="33"/>
        <v>62831853.071795866</v>
      </c>
      <c r="AA36" s="279">
        <f t="shared" si="34"/>
        <v>-4.5264756231941823E-2</v>
      </c>
      <c r="AB36" s="279">
        <f t="shared" si="35"/>
        <v>7.5090680384807595E-2</v>
      </c>
      <c r="AC36" s="279">
        <f t="shared" si="36"/>
        <v>-2.9400536904937447E-5</v>
      </c>
      <c r="AD36" s="279">
        <f t="shared" si="37"/>
        <v>4.8773184783275021E-5</v>
      </c>
      <c r="AE36" s="279">
        <f t="shared" si="38"/>
        <v>0.99997059946309508</v>
      </c>
      <c r="AF36" s="279">
        <f t="shared" si="39"/>
        <v>4.8773184783275021E-5</v>
      </c>
      <c r="AG36" s="279">
        <f t="shared" si="40"/>
        <v>-2.9399022288545417E-5</v>
      </c>
      <c r="AH36" s="282">
        <f t="shared" si="41"/>
        <v>4.8776052709359306E-5</v>
      </c>
      <c r="AI36" s="279">
        <f t="shared" si="42"/>
        <v>5.6949232867546853E-5</v>
      </c>
      <c r="AJ36" s="279">
        <f t="shared" si="43"/>
        <v>-58.918374611201273</v>
      </c>
      <c r="AK36" s="279">
        <f t="shared" si="44"/>
        <v>-84.890242433852194</v>
      </c>
      <c r="AL36" s="279">
        <f t="shared" si="45"/>
        <v>5.6950907187055303E-5</v>
      </c>
      <c r="AM36" s="86">
        <f t="shared" si="46"/>
        <v>2.113273026700897</v>
      </c>
      <c r="AN36" s="279">
        <f t="shared" si="47"/>
        <v>-84.889987070610985</v>
      </c>
      <c r="AO36" s="279">
        <f t="shared" si="48"/>
        <v>1.0000293990222886</v>
      </c>
      <c r="AP36" s="86">
        <f t="shared" si="49"/>
        <v>-4.8776052709359306E-5</v>
      </c>
      <c r="AQ36" s="279">
        <f t="shared" si="50"/>
        <v>1.0000294002118053</v>
      </c>
      <c r="AR36" s="279">
        <f t="shared" si="51"/>
        <v>2.5536324122834859E-4</v>
      </c>
    </row>
    <row r="37" spans="1:44" ht="15" customHeight="1">
      <c r="U37" s="5"/>
      <c r="V37" s="5"/>
    </row>
    <row r="38" spans="1:44" ht="15" customHeight="1">
      <c r="G38" s="86" t="str">
        <f t="shared" ref="G38:H38" si="66">H24</f>
        <v>OLGain</v>
      </c>
      <c r="H38" s="86" t="str">
        <f t="shared" si="66"/>
        <v>OLPhase</v>
      </c>
    </row>
    <row r="39" spans="1:44" ht="15" customHeight="1">
      <c r="C39" s="86">
        <f t="shared" ref="C39:E39" si="67">H36</f>
        <v>-84.890242433852194</v>
      </c>
      <c r="D39" s="86">
        <f t="shared" si="67"/>
        <v>-58.918374611201273</v>
      </c>
      <c r="E39" s="86">
        <f t="shared" si="67"/>
        <v>10000000</v>
      </c>
      <c r="G39" s="86">
        <f t="shared" ref="G39:G50" si="68">-H25</f>
        <v>-97.188022428911523</v>
      </c>
      <c r="H39" s="86">
        <f t="shared" ref="H39:H50" si="69">I25</f>
        <v>0.37837112097471959</v>
      </c>
      <c r="I39" s="86">
        <f t="shared" ref="I39:I50" si="70">G25</f>
        <v>100</v>
      </c>
    </row>
    <row r="40" spans="1:44" ht="15" customHeight="1">
      <c r="C40" s="86">
        <f t="shared" ref="C40:E40" si="71">H35</f>
        <v>-39.176953762292463</v>
      </c>
      <c r="D40" s="86">
        <f t="shared" si="71"/>
        <v>1.9206397589551329</v>
      </c>
      <c r="E40" s="86">
        <f t="shared" si="71"/>
        <v>1000000</v>
      </c>
      <c r="G40" s="86">
        <f t="shared" si="68"/>
        <v>-57.209364747267202</v>
      </c>
      <c r="H40" s="86">
        <f t="shared" si="69"/>
        <v>3.7770552437446838</v>
      </c>
      <c r="I40" s="86">
        <f t="shared" si="70"/>
        <v>1000</v>
      </c>
    </row>
    <row r="41" spans="1:44" ht="15" customHeight="1">
      <c r="C41" s="86">
        <f t="shared" ref="C41:E41" si="72">H34</f>
        <v>-24.115204209648098</v>
      </c>
      <c r="D41" s="86">
        <f t="shared" si="72"/>
        <v>23.196755822971937</v>
      </c>
      <c r="E41" s="86">
        <f t="shared" si="72"/>
        <v>400000</v>
      </c>
      <c r="G41" s="86">
        <f t="shared" si="68"/>
        <v>-33.438026401646276</v>
      </c>
      <c r="H41" s="86">
        <f t="shared" si="69"/>
        <v>14.72312087996724</v>
      </c>
      <c r="I41" s="86">
        <f t="shared" si="70"/>
        <v>4000</v>
      </c>
      <c r="O41" s="10" t="s">
        <v>554</v>
      </c>
    </row>
    <row r="42" spans="1:44" ht="15" customHeight="1">
      <c r="C42" s="86">
        <f t="shared" ref="C42:E42" si="73">H33</f>
        <v>-14.382686428926011</v>
      </c>
      <c r="D42" s="86">
        <f t="shared" si="73"/>
        <v>42.148388873862189</v>
      </c>
      <c r="E42" s="86">
        <f t="shared" si="73"/>
        <v>200000</v>
      </c>
      <c r="G42" s="86">
        <f t="shared" si="68"/>
        <v>-18.939010313586063</v>
      </c>
      <c r="H42" s="86">
        <f t="shared" si="69"/>
        <v>32.594392111471734</v>
      </c>
      <c r="I42" s="86">
        <f t="shared" si="70"/>
        <v>10000</v>
      </c>
    </row>
    <row r="43" spans="1:44" ht="15" customHeight="1">
      <c r="C43" s="86">
        <f t="shared" ref="C43:E43" si="74">H32</f>
        <v>-6.532699333710001</v>
      </c>
      <c r="D43" s="86">
        <f t="shared" si="74"/>
        <v>56.854572894845916</v>
      </c>
      <c r="E43" s="86">
        <f t="shared" si="74"/>
        <v>100000</v>
      </c>
      <c r="G43" s="86">
        <f t="shared" si="68"/>
        <v>-9.8811223523225742</v>
      </c>
      <c r="H43" s="86">
        <f t="shared" si="69"/>
        <v>49.415295352360829</v>
      </c>
      <c r="I43" s="86">
        <f t="shared" si="70"/>
        <v>20000</v>
      </c>
      <c r="N43" s="10" t="s">
        <v>555</v>
      </c>
      <c r="O43" s="10" t="s">
        <v>556</v>
      </c>
      <c r="P43" s="10" t="s">
        <v>557</v>
      </c>
      <c r="Q43" s="10" t="s">
        <v>558</v>
      </c>
    </row>
    <row r="44" spans="1:44" ht="15" customHeight="1">
      <c r="C44" s="86">
        <f t="shared" ref="C44:E44" si="75">H31</f>
        <v>-4.2776057429356804</v>
      </c>
      <c r="D44" s="86">
        <f t="shared" si="75"/>
        <v>59.487074841335414</v>
      </c>
      <c r="E44" s="86">
        <f t="shared" si="75"/>
        <v>80000</v>
      </c>
      <c r="G44" s="86">
        <f t="shared" si="68"/>
        <v>-2.5080950758382112</v>
      </c>
      <c r="H44" s="86">
        <f t="shared" si="69"/>
        <v>59.980896896719798</v>
      </c>
      <c r="I44" s="86">
        <f t="shared" si="70"/>
        <v>40000</v>
      </c>
      <c r="J44" s="86">
        <f>VLOOKUP(0,G39:I50,3)</f>
        <v>40000</v>
      </c>
      <c r="K44" s="86">
        <f>-VLOOKUP(0,G39:H50,1)</f>
        <v>2.5080950758382112</v>
      </c>
      <c r="L44" s="86">
        <f>VLOOKUP(0,G39:I50,2)</f>
        <v>59.980896896719798</v>
      </c>
      <c r="M44" s="10" t="s">
        <v>559</v>
      </c>
      <c r="N44" s="86">
        <f>10^(K44/20)</f>
        <v>1.3347648268506489</v>
      </c>
      <c r="O44" s="86">
        <f>J44</f>
        <v>40000</v>
      </c>
      <c r="P44" s="86">
        <f>(K45-K44)/(20*LOG10(J45/J44))</f>
        <v>-1.1270805096692584</v>
      </c>
      <c r="Q44" s="214">
        <f>(1/N44)^(1/P44)*O44</f>
        <v>51680.310744073286</v>
      </c>
    </row>
    <row r="45" spans="1:44" ht="15" customHeight="1">
      <c r="C45" s="86">
        <f t="shared" ref="C45:E45" si="76">H30</f>
        <v>2.5080950758382112</v>
      </c>
      <c r="D45" s="86">
        <f t="shared" si="76"/>
        <v>59.980896896719798</v>
      </c>
      <c r="E45" s="86">
        <f t="shared" si="76"/>
        <v>40000</v>
      </c>
      <c r="G45" s="86">
        <f t="shared" si="68"/>
        <v>4.2776057429356804</v>
      </c>
      <c r="H45" s="86">
        <f t="shared" si="69"/>
        <v>59.487074841335414</v>
      </c>
      <c r="I45" s="86">
        <f t="shared" si="70"/>
        <v>80000</v>
      </c>
      <c r="J45" s="86">
        <f>VLOOKUP(0,C39:E50,3)</f>
        <v>80000</v>
      </c>
      <c r="K45" s="86">
        <f>VLOOKUP(0,C39:D50,1)</f>
        <v>-4.2776057429356804</v>
      </c>
      <c r="L45" s="86">
        <f>VLOOKUP(0,C39:E50,2)</f>
        <v>59.487074841335414</v>
      </c>
      <c r="M45" s="10" t="s">
        <v>560</v>
      </c>
      <c r="N45" s="86">
        <f>10^(L44/20)</f>
        <v>997.80309070331339</v>
      </c>
      <c r="O45" s="86">
        <f>J44</f>
        <v>40000</v>
      </c>
      <c r="P45" s="86">
        <f>(L45-L44)/(20*LOG10(J45/J44))</f>
        <v>-8.2022067982820551E-2</v>
      </c>
      <c r="Q45" s="214">
        <f>20*LOG10(N45*(Q44/O45)^P45)</f>
        <v>59.79837298378466</v>
      </c>
    </row>
    <row r="46" spans="1:44" ht="15" customHeight="1">
      <c r="C46" s="86">
        <f t="shared" ref="C46:E46" si="77">H29</f>
        <v>9.8811223523225742</v>
      </c>
      <c r="D46" s="86">
        <f t="shared" si="77"/>
        <v>49.415295352360829</v>
      </c>
      <c r="E46" s="86">
        <f t="shared" si="77"/>
        <v>20000</v>
      </c>
      <c r="G46" s="86">
        <f t="shared" si="68"/>
        <v>6.532699333710001</v>
      </c>
      <c r="H46" s="86">
        <f t="shared" si="69"/>
        <v>56.854572894845916</v>
      </c>
      <c r="I46" s="86">
        <f t="shared" si="70"/>
        <v>100000</v>
      </c>
      <c r="Q46" s="10" t="s">
        <v>561</v>
      </c>
    </row>
    <row r="47" spans="1:44" ht="15" customHeight="1">
      <c r="C47" s="86">
        <f t="shared" ref="C47:E47" si="78">H28</f>
        <v>18.939010313586063</v>
      </c>
      <c r="D47" s="86">
        <f t="shared" si="78"/>
        <v>32.594392111471734</v>
      </c>
      <c r="E47" s="86">
        <f t="shared" si="78"/>
        <v>10000</v>
      </c>
      <c r="G47" s="86">
        <f t="shared" si="68"/>
        <v>14.382686428926011</v>
      </c>
      <c r="H47" s="86">
        <f t="shared" si="69"/>
        <v>42.148388873862189</v>
      </c>
      <c r="I47" s="86">
        <f t="shared" si="70"/>
        <v>200000</v>
      </c>
    </row>
    <row r="48" spans="1:44" ht="15" customHeight="1">
      <c r="C48" s="86">
        <f t="shared" ref="C48:E48" si="79">H27</f>
        <v>33.438026401646276</v>
      </c>
      <c r="D48" s="86">
        <f t="shared" si="79"/>
        <v>14.72312087996724</v>
      </c>
      <c r="E48" s="86">
        <f t="shared" si="79"/>
        <v>4000</v>
      </c>
      <c r="G48" s="86">
        <f t="shared" si="68"/>
        <v>24.115204209648098</v>
      </c>
      <c r="H48" s="86">
        <f t="shared" si="69"/>
        <v>23.196755822971937</v>
      </c>
      <c r="I48" s="86">
        <f t="shared" si="70"/>
        <v>400000</v>
      </c>
    </row>
    <row r="49" spans="2:13" ht="15" customHeight="1">
      <c r="C49" s="86">
        <f t="shared" ref="C49:E49" si="80">H26</f>
        <v>57.209364747267202</v>
      </c>
      <c r="D49" s="86">
        <f t="shared" si="80"/>
        <v>3.7770552437446838</v>
      </c>
      <c r="E49" s="86">
        <f t="shared" si="80"/>
        <v>1000</v>
      </c>
      <c r="G49" s="86">
        <f t="shared" si="68"/>
        <v>39.176953762292463</v>
      </c>
      <c r="H49" s="86">
        <f t="shared" si="69"/>
        <v>1.9206397589551329</v>
      </c>
      <c r="I49" s="86">
        <f t="shared" si="70"/>
        <v>1000000</v>
      </c>
    </row>
    <row r="50" spans="2:13" ht="15" customHeight="1">
      <c r="C50" s="86">
        <f t="shared" ref="C50:E50" si="81">H25</f>
        <v>97.188022428911523</v>
      </c>
      <c r="D50" s="86">
        <f t="shared" si="81"/>
        <v>0.37837112097471959</v>
      </c>
      <c r="E50" s="86">
        <f t="shared" si="81"/>
        <v>100</v>
      </c>
      <c r="G50" s="86">
        <f t="shared" si="68"/>
        <v>84.890242433852194</v>
      </c>
      <c r="H50" s="86">
        <f t="shared" si="69"/>
        <v>-58.918374611201273</v>
      </c>
      <c r="I50" s="86">
        <f t="shared" si="70"/>
        <v>10000000</v>
      </c>
    </row>
    <row r="51" spans="2:13" ht="15" customHeight="1"/>
    <row r="52" spans="2:13" ht="15" customHeight="1">
      <c r="D52" s="10" t="s">
        <v>91</v>
      </c>
      <c r="E52" s="10" t="s">
        <v>548</v>
      </c>
    </row>
    <row r="53" spans="2:13" ht="15" customHeight="1">
      <c r="B53" s="10" t="s">
        <v>562</v>
      </c>
      <c r="C53" s="86">
        <f>'Top Level'!G12*1000</f>
        <v>1022.9999999999999</v>
      </c>
      <c r="D53" s="210">
        <f t="shared" ref="D53:D64" si="82">C25</f>
        <v>0.1</v>
      </c>
      <c r="E53" s="86">
        <f t="shared" ref="E53:E64" si="83">E25</f>
        <v>1.2006231609732659E-4</v>
      </c>
    </row>
    <row r="54" spans="2:13" ht="15" customHeight="1">
      <c r="C54" s="10">
        <v>101000</v>
      </c>
      <c r="D54" s="210">
        <f t="shared" si="82"/>
        <v>1</v>
      </c>
      <c r="E54" s="86">
        <f t="shared" si="83"/>
        <v>1.1959123885022965E-2</v>
      </c>
    </row>
    <row r="55" spans="2:13" ht="15" customHeight="1">
      <c r="D55" s="210">
        <f t="shared" si="82"/>
        <v>4</v>
      </c>
      <c r="E55" s="86">
        <f t="shared" si="83"/>
        <v>0.18055286769558396</v>
      </c>
    </row>
    <row r="56" spans="2:13" ht="15" customHeight="1">
      <c r="D56" s="210">
        <f t="shared" si="82"/>
        <v>10</v>
      </c>
      <c r="E56" s="86">
        <f t="shared" si="83"/>
        <v>0.84930715918725597</v>
      </c>
    </row>
    <row r="57" spans="2:13" ht="15" customHeight="1">
      <c r="D57" s="210">
        <f t="shared" si="82"/>
        <v>20</v>
      </c>
      <c r="E57" s="86">
        <f t="shared" si="83"/>
        <v>1.6389911708316707</v>
      </c>
      <c r="J57" s="10" t="s">
        <v>563</v>
      </c>
    </row>
    <row r="58" spans="2:13" ht="15" customHeight="1">
      <c r="D58" s="210">
        <f t="shared" si="82"/>
        <v>40</v>
      </c>
      <c r="E58" s="86">
        <f t="shared" si="83"/>
        <v>0.90622719499812798</v>
      </c>
      <c r="J58" s="210">
        <f>VLOOKUP(C53,D53:E66,1)</f>
        <v>1000</v>
      </c>
      <c r="K58" s="86">
        <f>VLOOKUP(C53,D53:E65,2)</f>
        <v>-39.080987895177387</v>
      </c>
    </row>
    <row r="59" spans="2:13" ht="15" customHeight="1">
      <c r="D59" s="210">
        <f t="shared" si="82"/>
        <v>80</v>
      </c>
      <c r="E59" s="86">
        <f t="shared" si="83"/>
        <v>-3.0449466333143866</v>
      </c>
      <c r="J59" s="210">
        <f>VLOOKUP(C54,D53:E65,1)</f>
        <v>100000</v>
      </c>
    </row>
    <row r="60" spans="2:13" ht="15" customHeight="1">
      <c r="D60" s="210">
        <f t="shared" si="82"/>
        <v>100</v>
      </c>
      <c r="E60" s="86">
        <f t="shared" si="83"/>
        <v>-5.0252408328323188</v>
      </c>
    </row>
    <row r="61" spans="2:13" ht="15" customHeight="1">
      <c r="D61" s="210">
        <f t="shared" si="82"/>
        <v>200</v>
      </c>
      <c r="E61" s="86">
        <f t="shared" si="83"/>
        <v>-13.152618576829759</v>
      </c>
      <c r="I61" s="11"/>
      <c r="J61" s="11"/>
      <c r="K61" s="11"/>
      <c r="L61" s="11"/>
    </row>
    <row r="62" spans="2:13" ht="15" customHeight="1">
      <c r="D62" s="210">
        <f t="shared" si="82"/>
        <v>400</v>
      </c>
      <c r="E62" s="86">
        <f t="shared" si="83"/>
        <v>-23.606249982470445</v>
      </c>
      <c r="H62" s="9"/>
      <c r="I62" s="302">
        <f t="shared" ref="I62:J62" si="84">D63</f>
        <v>1000</v>
      </c>
      <c r="J62" s="302">
        <f t="shared" si="84"/>
        <v>-39.080987895177387</v>
      </c>
      <c r="K62" s="302">
        <f>C53</f>
        <v>1022.9999999999999</v>
      </c>
      <c r="L62" s="302">
        <f t="shared" ref="L62:L64" si="85">IF(AND(K62&gt;I62,K62&lt;I63),J62+20*LOG10(K62/I62)*((J63-J62)/(20*LOG10(I63/I62))),"new point if out range")</f>
        <v>-39.533380791754617</v>
      </c>
      <c r="M62" s="7"/>
    </row>
    <row r="63" spans="2:13" ht="15" customHeight="1">
      <c r="D63" s="210">
        <f t="shared" si="82"/>
        <v>1000</v>
      </c>
      <c r="E63" s="86">
        <f t="shared" si="83"/>
        <v>-39.080987895177387</v>
      </c>
      <c r="H63" s="9"/>
      <c r="I63" s="302">
        <f t="shared" ref="I63:J63" si="86">D64</f>
        <v>10000</v>
      </c>
      <c r="J63" s="302">
        <f t="shared" si="86"/>
        <v>-84.889987070610985</v>
      </c>
      <c r="K63" s="302">
        <f t="shared" ref="K63:K64" si="87">K62</f>
        <v>1022.9999999999999</v>
      </c>
      <c r="L63" s="302" t="str">
        <f t="shared" si="85"/>
        <v>new point if out range</v>
      </c>
      <c r="M63" s="7"/>
    </row>
    <row r="64" spans="2:13" ht="15" customHeight="1">
      <c r="D64" s="210">
        <f t="shared" si="82"/>
        <v>10000</v>
      </c>
      <c r="E64" s="86">
        <f t="shared" si="83"/>
        <v>-84.889987070610985</v>
      </c>
      <c r="H64" s="9"/>
      <c r="I64" s="302">
        <f t="shared" ref="I64:J64" si="88">D65</f>
        <v>100000</v>
      </c>
      <c r="J64" s="302">
        <f t="shared" si="88"/>
        <v>-130.69898624604457</v>
      </c>
      <c r="K64" s="302">
        <f t="shared" si="87"/>
        <v>1022.9999999999999</v>
      </c>
      <c r="L64" s="302" t="str">
        <f t="shared" si="85"/>
        <v>new point if out range</v>
      </c>
      <c r="M64" s="7"/>
    </row>
    <row r="65" spans="3:12" ht="15" customHeight="1">
      <c r="C65" s="10" t="s">
        <v>564</v>
      </c>
      <c r="D65" s="303">
        <f t="shared" ref="D65:D66" si="89">D64*10</f>
        <v>100000</v>
      </c>
      <c r="E65" s="200">
        <f t="shared" ref="E65:E66" si="90">E64-(E63-E64)</f>
        <v>-130.69898624604457</v>
      </c>
      <c r="I65" s="5"/>
      <c r="J65" s="5"/>
      <c r="K65" s="5"/>
      <c r="L65" s="5"/>
    </row>
    <row r="66" spans="3:12" ht="15" customHeight="1">
      <c r="D66" s="303">
        <f t="shared" si="89"/>
        <v>1000000</v>
      </c>
      <c r="E66" s="200">
        <f t="shared" si="90"/>
        <v>-176.50798542147817</v>
      </c>
    </row>
    <row r="67" spans="3:12" ht="15" customHeight="1"/>
    <row r="68" spans="3:12" ht="15" customHeight="1"/>
    <row r="69" spans="3:12" ht="15" customHeight="1"/>
    <row r="70" spans="3:12" ht="15" customHeight="1"/>
    <row r="71" spans="3:12" ht="15" customHeight="1"/>
    <row r="72" spans="3:12" ht="15" customHeight="1"/>
    <row r="73" spans="3:12" ht="15" customHeight="1"/>
    <row r="74" spans="3:12" ht="15" customHeight="1"/>
    <row r="75" spans="3:12" ht="15" customHeight="1"/>
    <row r="76" spans="3:12" ht="15" customHeight="1"/>
    <row r="77" spans="3:12" ht="15" customHeight="1"/>
    <row r="78" spans="3:12" ht="15" customHeight="1"/>
  </sheetData>
  <mergeCells count="2">
    <mergeCell ref="W1:X1"/>
    <mergeCell ref="Z4:AD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100"/>
  <sheetViews>
    <sheetView workbookViewId="0"/>
  </sheetViews>
  <sheetFormatPr defaultColWidth="14.42578125" defaultRowHeight="12.75" customHeight="1"/>
  <cols>
    <col min="1" max="18" width="17.28515625" customWidth="1"/>
  </cols>
  <sheetData>
    <row r="1" spans="1:12" ht="12.75" customHeight="1">
      <c r="A1" s="10" t="s">
        <v>6</v>
      </c>
      <c r="B1" s="10" t="s">
        <v>288</v>
      </c>
      <c r="F1" s="201"/>
      <c r="H1" s="10" t="s">
        <v>565</v>
      </c>
      <c r="I1" s="304" t="s">
        <v>566</v>
      </c>
      <c r="K1" s="305" t="s">
        <v>567</v>
      </c>
    </row>
    <row r="2" spans="1:12" ht="12.75" customHeight="1">
      <c r="A2" s="10" t="s">
        <v>524</v>
      </c>
      <c r="B2" s="211">
        <f>'PLL filter cal'!H16</f>
        <v>6.1718566017315275E-11</v>
      </c>
      <c r="D2" s="86">
        <f t="shared" ref="D2:D6" si="0">1*LOG10(B2)</f>
        <v>-10.20958417298481</v>
      </c>
      <c r="E2" s="86">
        <f t="shared" ref="E2:E6" si="1">ROUND(D2,0)</f>
        <v>-10</v>
      </c>
      <c r="F2" s="201">
        <f t="shared" ref="F2:F6" si="2">B2/10^E2</f>
        <v>0.61718566017315268</v>
      </c>
      <c r="G2" s="86">
        <f t="shared" ref="G2:G4" si="3">VLOOKUP(F2,K$3:L$25,2,1)</f>
        <v>0.56000000000000005</v>
      </c>
      <c r="H2" s="211">
        <f t="shared" ref="H2:H6" si="4">G2*10^E2</f>
        <v>5.6000000000000007E-11</v>
      </c>
      <c r="I2" s="10" t="s">
        <v>568</v>
      </c>
      <c r="J2" s="10">
        <v>0.1</v>
      </c>
      <c r="K2" s="10" t="s">
        <v>568</v>
      </c>
      <c r="L2" s="10">
        <v>0.1</v>
      </c>
    </row>
    <row r="3" spans="1:12" ht="12.75" customHeight="1">
      <c r="A3" s="10" t="s">
        <v>525</v>
      </c>
      <c r="B3" s="211">
        <f>'PLL filter cal'!H17</f>
        <v>1.9392304845413249E-10</v>
      </c>
      <c r="D3" s="86">
        <f t="shared" si="0"/>
        <v>-9.7123705703871472</v>
      </c>
      <c r="E3" s="86">
        <f t="shared" si="1"/>
        <v>-10</v>
      </c>
      <c r="F3" s="201">
        <f t="shared" si="2"/>
        <v>1.9392304845413249</v>
      </c>
      <c r="G3" s="86">
        <f t="shared" si="3"/>
        <v>1.8</v>
      </c>
      <c r="H3" s="211">
        <f t="shared" si="4"/>
        <v>1.8E-10</v>
      </c>
      <c r="I3" s="306">
        <f t="shared" ref="I3:I49" si="5">(J2+J3)/2</f>
        <v>0.10500000000000001</v>
      </c>
      <c r="J3" s="304">
        <v>0.11</v>
      </c>
      <c r="K3" s="307">
        <f t="shared" ref="K3:K25" si="6">(L2+L3)/2</f>
        <v>0.11</v>
      </c>
      <c r="L3" s="305">
        <v>0.12</v>
      </c>
    </row>
    <row r="4" spans="1:12" ht="12.75" customHeight="1">
      <c r="A4" s="10" t="s">
        <v>352</v>
      </c>
      <c r="B4" s="211">
        <f>'PLL filter cal'!H18</f>
        <v>1.5000000000000001E-12</v>
      </c>
      <c r="D4" s="86">
        <f t="shared" si="0"/>
        <v>-11.823908740944319</v>
      </c>
      <c r="E4" s="86">
        <f t="shared" si="1"/>
        <v>-12</v>
      </c>
      <c r="F4" s="201">
        <f t="shared" si="2"/>
        <v>1.5</v>
      </c>
      <c r="G4" s="86">
        <f t="shared" si="3"/>
        <v>1.5</v>
      </c>
      <c r="H4" s="211">
        <f t="shared" si="4"/>
        <v>1.5000000000000001E-12</v>
      </c>
      <c r="I4" s="306">
        <f t="shared" si="5"/>
        <v>0.11499999999999999</v>
      </c>
      <c r="J4" s="304">
        <v>0.12</v>
      </c>
      <c r="K4" s="307">
        <f t="shared" si="6"/>
        <v>0.13500000000000001</v>
      </c>
      <c r="L4" s="305">
        <v>0.15</v>
      </c>
    </row>
    <row r="5" spans="1:12" ht="12.75" customHeight="1">
      <c r="A5" s="10" t="s">
        <v>283</v>
      </c>
      <c r="B5" s="211">
        <f>'PLL filter cal'!H19</f>
        <v>15839.315570524972</v>
      </c>
      <c r="D5" s="86">
        <f t="shared" si="0"/>
        <v>4.1997364114475255</v>
      </c>
      <c r="E5" s="86">
        <f t="shared" si="1"/>
        <v>4</v>
      </c>
      <c r="F5" s="201">
        <f t="shared" si="2"/>
        <v>1.5839315570524972</v>
      </c>
      <c r="G5" s="86">
        <f>VLOOKUP(F5,I3:J49,2,1)</f>
        <v>1.6</v>
      </c>
      <c r="H5" s="211">
        <f t="shared" si="4"/>
        <v>16000</v>
      </c>
      <c r="I5" s="306">
        <f t="shared" si="5"/>
        <v>0.125</v>
      </c>
      <c r="J5" s="304">
        <v>0.13</v>
      </c>
      <c r="K5" s="307">
        <f t="shared" si="6"/>
        <v>0.16499999999999998</v>
      </c>
      <c r="L5" s="305">
        <v>0.18</v>
      </c>
    </row>
    <row r="6" spans="1:12" ht="12.75" customHeight="1">
      <c r="A6" s="10" t="s">
        <v>284</v>
      </c>
      <c r="B6" s="211">
        <f>'PLL filter cal'!H20</f>
        <v>0</v>
      </c>
      <c r="D6" s="86" t="e">
        <f t="shared" si="0"/>
        <v>#NUM!</v>
      </c>
      <c r="E6" s="86" t="e">
        <f t="shared" si="1"/>
        <v>#NUM!</v>
      </c>
      <c r="F6" s="201" t="e">
        <f t="shared" si="2"/>
        <v>#NUM!</v>
      </c>
      <c r="G6" s="86" t="e">
        <f>VLOOKUP(F6,I3:J49,2,1)</f>
        <v>#NUM!</v>
      </c>
      <c r="H6" s="211" t="e">
        <f t="shared" si="4"/>
        <v>#NUM!</v>
      </c>
      <c r="I6" s="306">
        <f t="shared" si="5"/>
        <v>0.14000000000000001</v>
      </c>
      <c r="J6" s="304">
        <v>0.15</v>
      </c>
      <c r="K6" s="307">
        <f t="shared" si="6"/>
        <v>0.2</v>
      </c>
      <c r="L6" s="305">
        <v>0.22</v>
      </c>
    </row>
    <row r="7" spans="1:12" ht="12.75" customHeight="1">
      <c r="B7" s="211"/>
      <c r="F7" s="201"/>
      <c r="I7" s="306">
        <f t="shared" si="5"/>
        <v>0.155</v>
      </c>
      <c r="J7" s="304">
        <v>0.16</v>
      </c>
      <c r="K7" s="307">
        <f t="shared" si="6"/>
        <v>0.245</v>
      </c>
      <c r="L7" s="305">
        <v>0.27</v>
      </c>
    </row>
    <row r="8" spans="1:12" ht="12.75" customHeight="1">
      <c r="A8" s="10" t="s">
        <v>569</v>
      </c>
      <c r="B8" s="211"/>
      <c r="F8" s="201"/>
      <c r="I8" s="306">
        <f t="shared" si="5"/>
        <v>0.16999999999999998</v>
      </c>
      <c r="J8" s="304">
        <v>0.18</v>
      </c>
      <c r="K8" s="307">
        <f t="shared" si="6"/>
        <v>0.30000000000000004</v>
      </c>
      <c r="L8" s="305">
        <v>0.33</v>
      </c>
    </row>
    <row r="9" spans="1:12" ht="12.75" customHeight="1">
      <c r="A9" s="10" t="s">
        <v>570</v>
      </c>
      <c r="B9" s="211"/>
      <c r="F9" s="201"/>
      <c r="I9" s="306">
        <f t="shared" si="5"/>
        <v>0.19</v>
      </c>
      <c r="J9" s="304">
        <v>0.2</v>
      </c>
      <c r="K9" s="307">
        <f t="shared" si="6"/>
        <v>0.36</v>
      </c>
      <c r="L9" s="305">
        <v>0.39</v>
      </c>
    </row>
    <row r="10" spans="1:12" ht="12.75" customHeight="1">
      <c r="B10" s="211"/>
      <c r="F10" s="201"/>
      <c r="I10" s="306">
        <f t="shared" si="5"/>
        <v>0.21000000000000002</v>
      </c>
      <c r="J10" s="304">
        <v>0.22</v>
      </c>
      <c r="K10" s="307">
        <f t="shared" si="6"/>
        <v>0.43</v>
      </c>
      <c r="L10" s="305">
        <v>0.47</v>
      </c>
    </row>
    <row r="11" spans="1:12" ht="12.75" customHeight="1">
      <c r="B11" s="211"/>
      <c r="F11" s="201"/>
      <c r="I11" s="306">
        <f t="shared" si="5"/>
        <v>0.22999999999999998</v>
      </c>
      <c r="J11" s="304">
        <v>0.24</v>
      </c>
      <c r="K11" s="307">
        <f t="shared" si="6"/>
        <v>0.51500000000000001</v>
      </c>
      <c r="L11" s="305">
        <v>0.56000000000000005</v>
      </c>
    </row>
    <row r="12" spans="1:12" ht="12.75" customHeight="1">
      <c r="B12" s="211"/>
      <c r="F12" s="201"/>
      <c r="I12" s="306">
        <f t="shared" si="5"/>
        <v>0.255</v>
      </c>
      <c r="J12" s="304">
        <v>0.27</v>
      </c>
      <c r="K12" s="307">
        <f t="shared" si="6"/>
        <v>0.62000000000000011</v>
      </c>
      <c r="L12" s="305">
        <v>0.68</v>
      </c>
    </row>
    <row r="13" spans="1:12" ht="12.75" customHeight="1">
      <c r="B13" s="211"/>
      <c r="F13" s="201"/>
      <c r="I13" s="306">
        <f t="shared" si="5"/>
        <v>0.28500000000000003</v>
      </c>
      <c r="J13" s="304">
        <v>0.3</v>
      </c>
      <c r="K13" s="307">
        <f t="shared" si="6"/>
        <v>0.75</v>
      </c>
      <c r="L13" s="305">
        <v>0.82</v>
      </c>
    </row>
    <row r="14" spans="1:12" ht="12.75" customHeight="1">
      <c r="B14" s="211"/>
      <c r="F14" s="201"/>
      <c r="I14" s="306">
        <f t="shared" si="5"/>
        <v>0.315</v>
      </c>
      <c r="J14" s="304">
        <v>0.33</v>
      </c>
      <c r="K14" s="307">
        <f t="shared" si="6"/>
        <v>0.90999999999999992</v>
      </c>
      <c r="L14" s="305">
        <v>1</v>
      </c>
    </row>
    <row r="15" spans="1:12" ht="12.75" customHeight="1">
      <c r="B15" s="211"/>
      <c r="F15" s="201"/>
      <c r="I15" s="306">
        <f t="shared" si="5"/>
        <v>0.34499999999999997</v>
      </c>
      <c r="J15" s="304">
        <v>0.36</v>
      </c>
      <c r="K15" s="307">
        <f t="shared" si="6"/>
        <v>1.1000000000000001</v>
      </c>
      <c r="L15" s="305">
        <v>1.2</v>
      </c>
    </row>
    <row r="16" spans="1:12" ht="12.75" customHeight="1">
      <c r="B16" s="211"/>
      <c r="F16" s="201"/>
      <c r="I16" s="306">
        <f t="shared" si="5"/>
        <v>0.375</v>
      </c>
      <c r="J16" s="304">
        <v>0.39</v>
      </c>
      <c r="K16" s="307">
        <f t="shared" si="6"/>
        <v>1.35</v>
      </c>
      <c r="L16" s="305">
        <v>1.5</v>
      </c>
    </row>
    <row r="17" spans="2:12" ht="12.75" customHeight="1">
      <c r="B17" s="211"/>
      <c r="F17" s="201"/>
      <c r="I17" s="306">
        <f t="shared" si="5"/>
        <v>0.41000000000000003</v>
      </c>
      <c r="J17" s="304">
        <v>0.43</v>
      </c>
      <c r="K17" s="307">
        <f t="shared" si="6"/>
        <v>1.65</v>
      </c>
      <c r="L17" s="305">
        <v>1.8</v>
      </c>
    </row>
    <row r="18" spans="2:12" ht="12.75" customHeight="1">
      <c r="B18" s="211"/>
      <c r="F18" s="201"/>
      <c r="I18" s="306">
        <f t="shared" si="5"/>
        <v>0.44999999999999996</v>
      </c>
      <c r="J18" s="304">
        <v>0.47</v>
      </c>
      <c r="K18" s="307">
        <f t="shared" si="6"/>
        <v>2</v>
      </c>
      <c r="L18" s="305">
        <v>2.2000000000000002</v>
      </c>
    </row>
    <row r="19" spans="2:12" ht="12.75" customHeight="1">
      <c r="B19" s="211"/>
      <c r="F19" s="201"/>
      <c r="I19" s="306">
        <f t="shared" si="5"/>
        <v>0.49</v>
      </c>
      <c r="J19" s="304">
        <v>0.51</v>
      </c>
      <c r="K19" s="307">
        <f t="shared" si="6"/>
        <v>2.4500000000000002</v>
      </c>
      <c r="L19" s="305">
        <v>2.7</v>
      </c>
    </row>
    <row r="20" spans="2:12" ht="12.75" customHeight="1">
      <c r="B20" s="211"/>
      <c r="F20" s="201"/>
      <c r="I20" s="306">
        <f t="shared" si="5"/>
        <v>0.53500000000000003</v>
      </c>
      <c r="J20" s="304">
        <v>0.56000000000000005</v>
      </c>
      <c r="K20" s="307">
        <f t="shared" si="6"/>
        <v>3</v>
      </c>
      <c r="L20" s="305">
        <v>3.3</v>
      </c>
    </row>
    <row r="21" spans="2:12" ht="12.75" customHeight="1">
      <c r="B21" s="211"/>
      <c r="F21" s="201"/>
      <c r="I21" s="306">
        <f t="shared" si="5"/>
        <v>0.59000000000000008</v>
      </c>
      <c r="J21" s="304">
        <v>0.62</v>
      </c>
      <c r="K21" s="307">
        <f t="shared" si="6"/>
        <v>3.5999999999999996</v>
      </c>
      <c r="L21" s="305">
        <v>3.9</v>
      </c>
    </row>
    <row r="22" spans="2:12" ht="12.75" customHeight="1">
      <c r="B22" s="211"/>
      <c r="F22" s="201"/>
      <c r="I22" s="306">
        <f t="shared" si="5"/>
        <v>0.65</v>
      </c>
      <c r="J22" s="304">
        <v>0.68</v>
      </c>
      <c r="K22" s="307">
        <f t="shared" si="6"/>
        <v>4.3</v>
      </c>
      <c r="L22" s="305">
        <v>4.7</v>
      </c>
    </row>
    <row r="23" spans="2:12" ht="12.75" customHeight="1">
      <c r="B23" s="211"/>
      <c r="F23" s="201"/>
      <c r="I23" s="306">
        <f t="shared" si="5"/>
        <v>0.71500000000000008</v>
      </c>
      <c r="J23" s="304">
        <v>0.75</v>
      </c>
      <c r="K23" s="307">
        <f t="shared" si="6"/>
        <v>5.15</v>
      </c>
      <c r="L23" s="305">
        <v>5.6</v>
      </c>
    </row>
    <row r="24" spans="2:12" ht="12.75" customHeight="1">
      <c r="B24" s="211"/>
      <c r="F24" s="201"/>
      <c r="I24" s="306">
        <f t="shared" si="5"/>
        <v>0.78499999999999992</v>
      </c>
      <c r="J24" s="304">
        <v>0.82</v>
      </c>
      <c r="K24" s="307">
        <f t="shared" si="6"/>
        <v>6.1999999999999993</v>
      </c>
      <c r="L24" s="305">
        <v>6.8</v>
      </c>
    </row>
    <row r="25" spans="2:12" ht="12.75" customHeight="1">
      <c r="B25" s="211"/>
      <c r="F25" s="201"/>
      <c r="I25" s="306">
        <f t="shared" si="5"/>
        <v>0.86499999999999999</v>
      </c>
      <c r="J25" s="304">
        <v>0.91</v>
      </c>
      <c r="K25" s="307">
        <f t="shared" si="6"/>
        <v>7.5</v>
      </c>
      <c r="L25" s="305">
        <v>8.1999999999999993</v>
      </c>
    </row>
    <row r="26" spans="2:12" ht="12.75" customHeight="1">
      <c r="B26" s="211"/>
      <c r="F26" s="201"/>
      <c r="I26" s="306">
        <f t="shared" si="5"/>
        <v>0.95500000000000007</v>
      </c>
      <c r="J26" s="304">
        <v>1</v>
      </c>
    </row>
    <row r="27" spans="2:12" ht="12.75" customHeight="1">
      <c r="B27" s="211"/>
      <c r="F27" s="201"/>
      <c r="I27" s="306">
        <f t="shared" si="5"/>
        <v>1.05</v>
      </c>
      <c r="J27" s="304">
        <v>1.1000000000000001</v>
      </c>
    </row>
    <row r="28" spans="2:12" ht="12.75" customHeight="1">
      <c r="B28" s="211"/>
      <c r="F28" s="201"/>
      <c r="I28" s="306">
        <f t="shared" si="5"/>
        <v>1.1499999999999999</v>
      </c>
      <c r="J28" s="304">
        <v>1.2</v>
      </c>
    </row>
    <row r="29" spans="2:12" ht="12.75" customHeight="1">
      <c r="B29" s="211"/>
      <c r="F29" s="201"/>
      <c r="I29" s="306">
        <f t="shared" si="5"/>
        <v>1.25</v>
      </c>
      <c r="J29" s="304">
        <v>1.3</v>
      </c>
    </row>
    <row r="30" spans="2:12" ht="12.75" customHeight="1">
      <c r="B30" s="211"/>
      <c r="F30" s="201"/>
      <c r="I30" s="306">
        <f t="shared" si="5"/>
        <v>1.4</v>
      </c>
      <c r="J30" s="304">
        <v>1.5</v>
      </c>
    </row>
    <row r="31" spans="2:12" ht="12.75" customHeight="1">
      <c r="B31" s="211"/>
      <c r="F31" s="201"/>
      <c r="I31" s="306">
        <f t="shared" si="5"/>
        <v>1.55</v>
      </c>
      <c r="J31" s="304">
        <v>1.6</v>
      </c>
    </row>
    <row r="32" spans="2:12" ht="12.75" customHeight="1">
      <c r="B32" s="211"/>
      <c r="F32" s="201"/>
      <c r="I32" s="306">
        <f t="shared" si="5"/>
        <v>1.7000000000000002</v>
      </c>
      <c r="J32" s="304">
        <v>1.8</v>
      </c>
    </row>
    <row r="33" spans="2:10" ht="12.75" customHeight="1">
      <c r="B33" s="211"/>
      <c r="F33" s="201"/>
      <c r="I33" s="306">
        <f t="shared" si="5"/>
        <v>1.9</v>
      </c>
      <c r="J33" s="304">
        <v>2</v>
      </c>
    </row>
    <row r="34" spans="2:10" ht="12.75" customHeight="1">
      <c r="B34" s="211"/>
      <c r="F34" s="201"/>
      <c r="I34" s="306">
        <f t="shared" si="5"/>
        <v>2.1</v>
      </c>
      <c r="J34" s="304">
        <v>2.2000000000000002</v>
      </c>
    </row>
    <row r="35" spans="2:10" ht="12.75" customHeight="1">
      <c r="B35" s="211"/>
      <c r="F35" s="201"/>
      <c r="I35" s="306">
        <f t="shared" si="5"/>
        <v>2.2999999999999998</v>
      </c>
      <c r="J35" s="304">
        <v>2.4</v>
      </c>
    </row>
    <row r="36" spans="2:10" ht="12.75" customHeight="1">
      <c r="B36" s="211"/>
      <c r="F36" s="201"/>
      <c r="I36" s="306">
        <f t="shared" si="5"/>
        <v>2.5499999999999998</v>
      </c>
      <c r="J36" s="304">
        <v>2.7</v>
      </c>
    </row>
    <row r="37" spans="2:10" ht="12.75" customHeight="1">
      <c r="B37" s="211"/>
      <c r="F37" s="201"/>
      <c r="I37" s="306">
        <f t="shared" si="5"/>
        <v>2.85</v>
      </c>
      <c r="J37" s="304">
        <v>3</v>
      </c>
    </row>
    <row r="38" spans="2:10" ht="12.75" customHeight="1">
      <c r="F38" s="201"/>
      <c r="I38" s="306">
        <f t="shared" si="5"/>
        <v>3.15</v>
      </c>
      <c r="J38" s="304">
        <v>3.3</v>
      </c>
    </row>
    <row r="39" spans="2:10" ht="12.75" customHeight="1">
      <c r="F39" s="201"/>
      <c r="I39" s="306">
        <f t="shared" si="5"/>
        <v>3.45</v>
      </c>
      <c r="J39" s="304">
        <v>3.6</v>
      </c>
    </row>
    <row r="40" spans="2:10" ht="12.75" customHeight="1">
      <c r="F40" s="201"/>
      <c r="I40" s="306">
        <f t="shared" si="5"/>
        <v>3.75</v>
      </c>
      <c r="J40" s="304">
        <v>3.9</v>
      </c>
    </row>
    <row r="41" spans="2:10" ht="12.75" customHeight="1">
      <c r="F41" s="201"/>
      <c r="I41" s="306">
        <f t="shared" si="5"/>
        <v>4.0999999999999996</v>
      </c>
      <c r="J41" s="304">
        <v>4.3</v>
      </c>
    </row>
    <row r="42" spans="2:10" ht="12.75" customHeight="1">
      <c r="F42" s="201"/>
      <c r="I42" s="306">
        <f t="shared" si="5"/>
        <v>4.5</v>
      </c>
      <c r="J42" s="304">
        <v>4.7</v>
      </c>
    </row>
    <row r="43" spans="2:10" ht="12.75" customHeight="1">
      <c r="F43" s="201"/>
      <c r="I43" s="306">
        <f t="shared" si="5"/>
        <v>4.9000000000000004</v>
      </c>
      <c r="J43" s="304">
        <v>5.0999999999999996</v>
      </c>
    </row>
    <row r="44" spans="2:10" ht="12.75" customHeight="1">
      <c r="F44" s="201"/>
      <c r="I44" s="306">
        <f t="shared" si="5"/>
        <v>5.35</v>
      </c>
      <c r="J44" s="304">
        <v>5.6</v>
      </c>
    </row>
    <row r="45" spans="2:10">
      <c r="F45" s="201"/>
      <c r="I45" s="306">
        <f t="shared" si="5"/>
        <v>5.9</v>
      </c>
      <c r="J45" s="304">
        <v>6.2</v>
      </c>
    </row>
    <row r="46" spans="2:10">
      <c r="F46" s="201"/>
      <c r="I46" s="306">
        <f t="shared" si="5"/>
        <v>6.5</v>
      </c>
      <c r="J46" s="304">
        <v>6.8</v>
      </c>
    </row>
    <row r="47" spans="2:10">
      <c r="F47" s="201"/>
      <c r="I47" s="306">
        <f t="shared" si="5"/>
        <v>7.15</v>
      </c>
      <c r="J47" s="304">
        <v>7.5</v>
      </c>
    </row>
    <row r="48" spans="2:10">
      <c r="F48" s="201"/>
      <c r="I48" s="306">
        <f t="shared" si="5"/>
        <v>7.85</v>
      </c>
      <c r="J48" s="304">
        <v>8.1999999999999993</v>
      </c>
    </row>
    <row r="49" spans="6:10">
      <c r="F49" s="201"/>
      <c r="I49" s="306">
        <f t="shared" si="5"/>
        <v>8.6499999999999986</v>
      </c>
      <c r="J49" s="304">
        <v>9.1</v>
      </c>
    </row>
    <row r="50" spans="6:10">
      <c r="F50" s="201"/>
    </row>
    <row r="51" spans="6:10">
      <c r="F51" s="201"/>
    </row>
    <row r="52" spans="6:10">
      <c r="F52" s="201"/>
    </row>
    <row r="53" spans="6:10">
      <c r="F53" s="201"/>
    </row>
    <row r="54" spans="6:10">
      <c r="F54" s="201"/>
    </row>
    <row r="55" spans="6:10">
      <c r="F55" s="201"/>
    </row>
    <row r="56" spans="6:10">
      <c r="F56" s="201"/>
    </row>
    <row r="57" spans="6:10">
      <c r="F57" s="201"/>
    </row>
    <row r="58" spans="6:10">
      <c r="F58" s="201"/>
    </row>
    <row r="59" spans="6:10">
      <c r="F59" s="201"/>
    </row>
    <row r="60" spans="6:10">
      <c r="F60" s="201"/>
    </row>
    <row r="61" spans="6:10">
      <c r="F61" s="201"/>
    </row>
    <row r="62" spans="6:10">
      <c r="F62" s="201"/>
    </row>
    <row r="63" spans="6:10">
      <c r="F63" s="201"/>
    </row>
    <row r="64" spans="6:10">
      <c r="F64" s="201"/>
    </row>
    <row r="65" spans="6:6">
      <c r="F65" s="201"/>
    </row>
    <row r="66" spans="6:6">
      <c r="F66" s="201"/>
    </row>
    <row r="67" spans="6:6">
      <c r="F67" s="201"/>
    </row>
    <row r="68" spans="6:6">
      <c r="F68" s="201"/>
    </row>
    <row r="69" spans="6:6">
      <c r="F69" s="201"/>
    </row>
    <row r="70" spans="6:6">
      <c r="F70" s="201"/>
    </row>
    <row r="71" spans="6:6">
      <c r="F71" s="201"/>
    </row>
    <row r="72" spans="6:6">
      <c r="F72" s="201"/>
    </row>
    <row r="73" spans="6:6">
      <c r="F73" s="201"/>
    </row>
    <row r="74" spans="6:6">
      <c r="F74" s="201"/>
    </row>
    <row r="75" spans="6:6">
      <c r="F75" s="201"/>
    </row>
    <row r="76" spans="6:6">
      <c r="F76" s="201"/>
    </row>
    <row r="77" spans="6:6">
      <c r="F77" s="201"/>
    </row>
    <row r="78" spans="6:6">
      <c r="F78" s="201"/>
    </row>
    <row r="79" spans="6:6">
      <c r="F79" s="201"/>
    </row>
    <row r="80" spans="6:6">
      <c r="F80" s="201"/>
    </row>
    <row r="81" spans="6:6">
      <c r="F81" s="201"/>
    </row>
    <row r="82" spans="6:6">
      <c r="F82" s="201"/>
    </row>
    <row r="83" spans="6:6">
      <c r="F83" s="201"/>
    </row>
    <row r="84" spans="6:6">
      <c r="F84" s="201"/>
    </row>
    <row r="85" spans="6:6">
      <c r="F85" s="201"/>
    </row>
    <row r="86" spans="6:6">
      <c r="F86" s="201"/>
    </row>
    <row r="87" spans="6:6">
      <c r="F87" s="201"/>
    </row>
    <row r="88" spans="6:6">
      <c r="F88" s="201"/>
    </row>
    <row r="89" spans="6:6">
      <c r="F89" s="201"/>
    </row>
    <row r="90" spans="6:6">
      <c r="F90" s="201"/>
    </row>
    <row r="91" spans="6:6">
      <c r="F91" s="201"/>
    </row>
    <row r="92" spans="6:6">
      <c r="F92" s="201"/>
    </row>
    <row r="93" spans="6:6">
      <c r="F93" s="201"/>
    </row>
    <row r="94" spans="6:6">
      <c r="F94" s="201"/>
    </row>
    <row r="95" spans="6:6">
      <c r="F95" s="201"/>
    </row>
    <row r="96" spans="6:6">
      <c r="F96" s="201"/>
    </row>
    <row r="97" spans="6:6">
      <c r="F97" s="201"/>
    </row>
    <row r="98" spans="6:6">
      <c r="F98" s="201"/>
    </row>
    <row r="99" spans="6:6">
      <c r="F99" s="201"/>
    </row>
    <row r="100" spans="6:6">
      <c r="F100" s="201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P83"/>
  <sheetViews>
    <sheetView workbookViewId="0">
      <pane xSplit="7" topLeftCell="H1" activePane="topRight" state="frozen"/>
      <selection pane="topRight" activeCell="I2" sqref="I2"/>
    </sheetView>
  </sheetViews>
  <sheetFormatPr defaultColWidth="14.42578125" defaultRowHeight="12.75" customHeight="1"/>
  <cols>
    <col min="1" max="10" width="9.28515625" customWidth="1"/>
    <col min="11" max="11" width="11.140625" customWidth="1"/>
    <col min="12" max="41" width="9.28515625" customWidth="1"/>
    <col min="42" max="42" width="17.28515625" customWidth="1"/>
  </cols>
  <sheetData>
    <row r="1" spans="1:42" ht="12" customHeight="1">
      <c r="A1" s="308" t="str">
        <f>'Top Level'!E5</f>
        <v>freeze</v>
      </c>
      <c r="B1" s="309" t="s">
        <v>288</v>
      </c>
      <c r="C1" s="310"/>
      <c r="D1" s="310"/>
      <c r="E1" s="311">
        <f>'Top Level'!J10*1000000</f>
        <v>70000000</v>
      </c>
      <c r="F1" s="310"/>
      <c r="G1" s="312">
        <f>IF('Top Level'!S5="on",1,0.0001)</f>
        <v>1</v>
      </c>
      <c r="H1" s="313" t="s">
        <v>571</v>
      </c>
      <c r="I1" s="314"/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</row>
    <row r="2" spans="1:42" ht="12" customHeight="1">
      <c r="A2" s="309" t="s">
        <v>524</v>
      </c>
      <c r="B2" s="315">
        <f>'PLL filter cal'!B16</f>
        <v>1.5E-11</v>
      </c>
      <c r="C2" s="310"/>
      <c r="D2" s="316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  <c r="Q2" s="314"/>
      <c r="R2" s="314"/>
      <c r="S2" s="314"/>
      <c r="T2" s="314"/>
      <c r="U2" s="314"/>
      <c r="V2" s="314"/>
      <c r="W2" s="314"/>
      <c r="X2" s="314"/>
      <c r="Y2" s="314"/>
      <c r="Z2" s="314"/>
      <c r="AA2" s="314"/>
      <c r="AB2" s="314"/>
      <c r="AC2" s="314"/>
      <c r="AD2" s="314"/>
      <c r="AE2" s="314"/>
      <c r="AF2" s="314"/>
      <c r="AG2" s="314"/>
      <c r="AH2" s="314"/>
      <c r="AI2" s="314"/>
      <c r="AJ2" s="314"/>
      <c r="AK2" s="314"/>
      <c r="AL2" s="314"/>
      <c r="AM2" s="314"/>
      <c r="AN2" s="314"/>
      <c r="AO2" s="314"/>
      <c r="AP2" s="314"/>
    </row>
    <row r="3" spans="1:42" ht="12" customHeight="1">
      <c r="A3" s="309" t="s">
        <v>525</v>
      </c>
      <c r="B3" s="315">
        <f>'PLL filter cal'!B17</f>
        <v>7.5E-10</v>
      </c>
      <c r="C3" s="310"/>
      <c r="D3" s="316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4"/>
      <c r="AC3" s="314"/>
      <c r="AD3" s="314"/>
      <c r="AE3" s="314"/>
      <c r="AF3" s="314"/>
      <c r="AG3" s="314"/>
      <c r="AH3" s="314"/>
      <c r="AI3" s="314"/>
      <c r="AJ3" s="314"/>
      <c r="AK3" s="314"/>
      <c r="AL3" s="314"/>
      <c r="AM3" s="314"/>
      <c r="AN3" s="314"/>
      <c r="AO3" s="314"/>
      <c r="AP3" s="314"/>
    </row>
    <row r="4" spans="1:42" ht="12" customHeight="1">
      <c r="A4" s="309" t="s">
        <v>352</v>
      </c>
      <c r="B4" s="315">
        <f>'PLL filter cal'!B18</f>
        <v>3.1000000000000003E-11</v>
      </c>
      <c r="C4" s="315"/>
      <c r="D4" s="316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  <c r="Y4" s="314"/>
      <c r="Z4" s="314"/>
      <c r="AA4" s="314"/>
      <c r="AB4" s="314"/>
      <c r="AC4" s="314"/>
      <c r="AD4" s="314"/>
      <c r="AE4" s="314"/>
      <c r="AF4" s="314"/>
      <c r="AG4" s="314"/>
      <c r="AH4" s="314"/>
      <c r="AI4" s="314"/>
      <c r="AJ4" s="314"/>
      <c r="AK4" s="314"/>
      <c r="AL4" s="314"/>
      <c r="AM4" s="314"/>
      <c r="AN4" s="314"/>
      <c r="AO4" s="314"/>
      <c r="AP4" s="314"/>
    </row>
    <row r="5" spans="1:42" ht="12" customHeight="1">
      <c r="A5" s="309" t="s">
        <v>283</v>
      </c>
      <c r="B5" s="315">
        <f>'PLL filter cal'!B19</f>
        <v>15000</v>
      </c>
      <c r="C5" s="313">
        <v>300</v>
      </c>
      <c r="D5" s="315">
        <f t="shared" ref="D5:D6" si="0">1.38*1E-23</f>
        <v>1.3799999999999998E-23</v>
      </c>
      <c r="E5" s="317">
        <f>SQRT(4*D5*C5*B5)*G1</f>
        <v>1.5760710643876434E-8</v>
      </c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</row>
    <row r="6" spans="1:42" ht="12" customHeight="1">
      <c r="A6" s="309" t="s">
        <v>284</v>
      </c>
      <c r="B6" s="315">
        <f>'PLL filter cal'!B20</f>
        <v>3000</v>
      </c>
      <c r="C6" s="313">
        <v>300</v>
      </c>
      <c r="D6" s="315">
        <f t="shared" si="0"/>
        <v>1.3799999999999998E-23</v>
      </c>
      <c r="E6" s="317">
        <f>SQRT(4*D6*C6*B6)*G1</f>
        <v>7.0484040746824377E-9</v>
      </c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  <c r="AH6" s="314"/>
      <c r="AI6" s="314"/>
      <c r="AJ6" s="314"/>
      <c r="AK6" s="314"/>
      <c r="AL6" s="314"/>
      <c r="AM6" s="314"/>
      <c r="AN6" s="314"/>
      <c r="AO6" s="314"/>
      <c r="AP6" s="314"/>
    </row>
    <row r="7" spans="1:42" ht="12" customHeight="1">
      <c r="A7" s="313" t="s">
        <v>204</v>
      </c>
      <c r="B7" s="313" t="s">
        <v>572</v>
      </c>
      <c r="C7" s="314"/>
      <c r="D7" s="314"/>
      <c r="E7" s="317"/>
      <c r="F7" s="314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4"/>
      <c r="AD7" s="314"/>
      <c r="AE7" s="314"/>
      <c r="AF7" s="314"/>
      <c r="AG7" s="313" t="s">
        <v>515</v>
      </c>
      <c r="AH7" s="314"/>
      <c r="AI7" s="314"/>
      <c r="AJ7" s="314"/>
      <c r="AK7" s="314"/>
      <c r="AL7" s="314"/>
      <c r="AM7" s="314"/>
      <c r="AN7" s="314"/>
      <c r="AO7" s="314"/>
      <c r="AP7" s="314"/>
    </row>
    <row r="8" spans="1:42" ht="12" customHeight="1">
      <c r="A8" s="314"/>
      <c r="B8" s="314"/>
      <c r="C8" s="314"/>
      <c r="D8" s="314"/>
      <c r="E8" s="482" t="s">
        <v>573</v>
      </c>
      <c r="F8" s="461"/>
      <c r="G8" s="461"/>
      <c r="H8" s="314"/>
      <c r="I8" s="314"/>
      <c r="J8" s="314"/>
      <c r="K8" s="314"/>
      <c r="L8" s="314"/>
      <c r="M8" s="318"/>
      <c r="N8" s="318"/>
      <c r="O8" s="314"/>
      <c r="P8" s="319"/>
      <c r="Q8" s="319"/>
      <c r="R8" s="319"/>
      <c r="S8" s="320" t="s">
        <v>574</v>
      </c>
      <c r="T8" s="321" t="s">
        <v>575</v>
      </c>
      <c r="U8" s="319"/>
      <c r="V8" s="322" t="s">
        <v>576</v>
      </c>
      <c r="W8" s="318"/>
      <c r="X8" s="314"/>
      <c r="Y8" s="323" t="s">
        <v>577</v>
      </c>
      <c r="Z8" s="314"/>
      <c r="AA8" s="314"/>
      <c r="AB8" s="314"/>
      <c r="AC8" s="314"/>
      <c r="AD8" s="314"/>
      <c r="AE8" s="314"/>
      <c r="AF8" s="318"/>
      <c r="AG8" s="312">
        <f>IF(AH8="pas flt",1,0)</f>
        <v>1</v>
      </c>
      <c r="AH8" s="312" t="str">
        <f>'Top Level'!I9</f>
        <v>pas flt</v>
      </c>
      <c r="AI8" s="323" t="s">
        <v>578</v>
      </c>
      <c r="AJ8" s="318"/>
      <c r="AK8" s="314"/>
      <c r="AL8" s="318"/>
      <c r="AM8" s="318"/>
      <c r="AN8" s="318"/>
      <c r="AO8" s="318"/>
      <c r="AP8" s="314"/>
    </row>
    <row r="9" spans="1:42" ht="45" customHeight="1">
      <c r="A9" s="314"/>
      <c r="B9" s="314"/>
      <c r="C9" s="324" t="s">
        <v>91</v>
      </c>
      <c r="D9" s="324" t="s">
        <v>526</v>
      </c>
      <c r="E9" s="325"/>
      <c r="F9" s="324" t="s">
        <v>579</v>
      </c>
      <c r="G9" s="325"/>
      <c r="H9" s="325"/>
      <c r="I9" s="324" t="s">
        <v>580</v>
      </c>
      <c r="J9" s="325"/>
      <c r="K9" s="324" t="s">
        <v>581</v>
      </c>
      <c r="L9" s="326" t="s">
        <v>582</v>
      </c>
      <c r="M9" s="327" t="s">
        <v>583</v>
      </c>
      <c r="N9" s="327" t="s">
        <v>584</v>
      </c>
      <c r="O9" s="328"/>
      <c r="P9" s="329" t="s">
        <v>380</v>
      </c>
      <c r="Q9" s="330"/>
      <c r="R9" s="330"/>
      <c r="S9" s="330"/>
      <c r="T9" s="329" t="s">
        <v>533</v>
      </c>
      <c r="U9" s="331"/>
      <c r="V9" s="327" t="s">
        <v>585</v>
      </c>
      <c r="W9" s="332"/>
      <c r="X9" s="328"/>
      <c r="Y9" s="5"/>
      <c r="Z9" s="325"/>
      <c r="AA9" s="325"/>
      <c r="AB9" s="325"/>
      <c r="AC9" s="324" t="s">
        <v>586</v>
      </c>
      <c r="AD9" s="313" t="s">
        <v>587</v>
      </c>
      <c r="AE9" s="313" t="s">
        <v>588</v>
      </c>
      <c r="AF9" s="333"/>
      <c r="AG9" s="313" t="s">
        <v>589</v>
      </c>
      <c r="AH9" s="313" t="s">
        <v>590</v>
      </c>
      <c r="AI9" s="334" t="s">
        <v>591</v>
      </c>
      <c r="AJ9" s="13" t="s">
        <v>592</v>
      </c>
      <c r="AK9" s="335" t="s">
        <v>593</v>
      </c>
      <c r="AL9" s="13" t="s">
        <v>585</v>
      </c>
      <c r="AM9" s="336"/>
      <c r="AN9" s="337" t="s">
        <v>594</v>
      </c>
      <c r="AO9" s="338"/>
      <c r="AP9" s="339" t="s">
        <v>595</v>
      </c>
    </row>
    <row r="10" spans="1:42" ht="15" customHeight="1">
      <c r="A10" s="309">
        <v>0.1</v>
      </c>
      <c r="B10" s="309">
        <v>0</v>
      </c>
      <c r="C10" s="340">
        <f t="shared" ref="C10:C11" si="1">B10*A$10</f>
        <v>0</v>
      </c>
      <c r="D10" s="313" t="s">
        <v>526</v>
      </c>
      <c r="E10" s="313" t="s">
        <v>379</v>
      </c>
      <c r="F10" s="313" t="s">
        <v>380</v>
      </c>
      <c r="G10" s="313" t="s">
        <v>204</v>
      </c>
      <c r="H10" s="314"/>
      <c r="I10" s="313" t="s">
        <v>496</v>
      </c>
      <c r="J10" s="313" t="s">
        <v>497</v>
      </c>
      <c r="K10" s="313" t="s">
        <v>498</v>
      </c>
      <c r="L10" s="341" t="s">
        <v>499</v>
      </c>
      <c r="M10" s="342" t="s">
        <v>500</v>
      </c>
      <c r="N10" s="342" t="s">
        <v>501</v>
      </c>
      <c r="O10" s="343"/>
      <c r="P10" s="320" t="s">
        <v>500</v>
      </c>
      <c r="Q10" s="320" t="s">
        <v>501</v>
      </c>
      <c r="R10" s="320" t="s">
        <v>552</v>
      </c>
      <c r="S10" s="320" t="s">
        <v>553</v>
      </c>
      <c r="T10" s="320" t="s">
        <v>500</v>
      </c>
      <c r="U10" s="344" t="s">
        <v>501</v>
      </c>
      <c r="V10" s="345" t="s">
        <v>500</v>
      </c>
      <c r="W10" s="345" t="s">
        <v>501</v>
      </c>
      <c r="X10" s="343"/>
      <c r="Y10" s="313" t="s">
        <v>500</v>
      </c>
      <c r="Z10" s="313" t="s">
        <v>501</v>
      </c>
      <c r="AA10" s="313" t="s">
        <v>552</v>
      </c>
      <c r="AB10" s="313" t="s">
        <v>553</v>
      </c>
      <c r="AC10" s="313" t="s">
        <v>500</v>
      </c>
      <c r="AD10" s="313" t="s">
        <v>501</v>
      </c>
      <c r="AE10" s="313" t="s">
        <v>500</v>
      </c>
      <c r="AF10" s="313" t="s">
        <v>501</v>
      </c>
      <c r="AG10" s="313" t="s">
        <v>500</v>
      </c>
      <c r="AH10" s="341" t="s">
        <v>501</v>
      </c>
      <c r="AI10" s="13" t="s">
        <v>500</v>
      </c>
      <c r="AJ10" s="13" t="s">
        <v>501</v>
      </c>
      <c r="AK10" s="335" t="s">
        <v>596</v>
      </c>
      <c r="AL10" s="345" t="s">
        <v>500</v>
      </c>
      <c r="AM10" s="345" t="s">
        <v>501</v>
      </c>
      <c r="AN10" s="345" t="s">
        <v>500</v>
      </c>
      <c r="AO10" s="345" t="s">
        <v>501</v>
      </c>
      <c r="AP10" s="343"/>
    </row>
    <row r="11" spans="1:42" ht="15" customHeight="1">
      <c r="A11" s="314"/>
      <c r="B11" s="309">
        <v>1</v>
      </c>
      <c r="C11" s="340">
        <f t="shared" si="1"/>
        <v>0.1</v>
      </c>
      <c r="D11" s="340">
        <f t="shared" ref="D11:D22" si="2">C11*1000</f>
        <v>100</v>
      </c>
      <c r="E11" s="346">
        <f t="shared" ref="E11:E22" si="3">20*LOG10(0.5*SQRT(2)*SQRT(M11^2+N11^2)*E$1/D11)</f>
        <v>-42.673860333450513</v>
      </c>
      <c r="F11" s="346">
        <f t="shared" ref="F11:F22" si="4">20*LOG10(0.5*SQRT(2)*SQRT(V11^2+W11^2)*E$1/D11)</f>
        <v>-49.491556722932202</v>
      </c>
      <c r="G11" s="346">
        <f t="shared" ref="G11:G22" si="5">20*LOG10(0.5*SQRT(2)*SQRT(AN11^2+AO11^2)*E$1/D11)</f>
        <v>-266.45337305629346</v>
      </c>
      <c r="H11" s="325"/>
      <c r="I11" s="347">
        <f t="shared" ref="I11:I22" si="6">-1*$B$3</f>
        <v>-7.5E-10</v>
      </c>
      <c r="J11" s="324">
        <v>0</v>
      </c>
      <c r="K11" s="347">
        <f t="shared" ref="K11:K22" si="7">(($B$2+$B$3+$B$4)+(2*PI()*D11)^2*$B$2*$B$3*$B$4*$B$5*$B$6)</f>
        <v>7.9600000619564415E-10</v>
      </c>
      <c r="L11" s="348">
        <f t="shared" ref="L11:L22" si="8">($B$3*$B$2*$B$5+$B$3*$B$4*$B$5+$B$3*$B$4*$B$6+$B$4*$B$2*$B$6)*D11*2*PI()</f>
        <v>3.6985656151447275E-13</v>
      </c>
      <c r="M11" s="349">
        <f t="shared" ref="M11:M22" si="9">IF($AG$8=1,E$5*(I11*K11+J11*L11)/(K11^2+L11^2),E$5*AI11)</f>
        <v>-1.4849912486082042E-8</v>
      </c>
      <c r="N11" s="349">
        <f t="shared" ref="N11:N22" si="10">IF($AG$8=1,E$5*(J11*K11-I11*L11)/(K11^2+L11^2),$E$5*AJ11)</f>
        <v>6.8999215177684438E-12</v>
      </c>
      <c r="O11" s="350"/>
      <c r="P11" s="351">
        <f t="shared" ref="P11:P22" si="11">$B$2+$B$3</f>
        <v>7.6499999999999994E-10</v>
      </c>
      <c r="Q11" s="351">
        <f t="shared" ref="Q11:Q22" si="12">2*PI()*D11*$B$2*$B$3*$B$5</f>
        <v>1.0602875205865551E-13</v>
      </c>
      <c r="R11" s="351">
        <f t="shared" ref="R11:R22" si="13">((B$2+B$3+B$4)+(2*PI()*D11)^2*B$2*B$3*B$4*B$5*B$6)</f>
        <v>7.9600000619564415E-10</v>
      </c>
      <c r="S11" s="351">
        <f t="shared" ref="S11:S22" si="14">($B$3*$B$2*$B$5+$B$3*$B$4*$B$5+$B$3*$B$4*$B$6+$B$4*$B$2*$B$6)*D11*2*PI()</f>
        <v>3.6985656151447275E-13</v>
      </c>
      <c r="T11" s="351">
        <f t="shared" ref="T11:T22" si="15">E$6*(P11*R11+Q11*S11)/(R11^2+S11^2)</f>
        <v>6.7739048471117105E-9</v>
      </c>
      <c r="U11" s="352">
        <f t="shared" ref="U11:U22" si="16">E$6*(Q11*R11-P11*S11)/(R11^2+S11^2)</f>
        <v>-2.2085925289592752E-12</v>
      </c>
      <c r="V11" s="349">
        <f t="shared" ref="V11:W11" si="17">AL11</f>
        <v>6.7739049525606785E-9</v>
      </c>
      <c r="W11" s="349">
        <f t="shared" si="17"/>
        <v>-2.208592612336536E-12</v>
      </c>
      <c r="X11" s="328"/>
      <c r="Y11" s="324">
        <v>1</v>
      </c>
      <c r="Z11" s="353">
        <f t="shared" ref="Z11:Z22" si="18">2*PI()*D11*$B$3*$B$5</f>
        <v>7.0685834705770355E-3</v>
      </c>
      <c r="AA11" s="347">
        <f t="shared" ref="AA11:AA22" si="19">-1*(2*PI()*D11)^2*$B$2*$B$3*$B$5</f>
        <v>-6.6619829707353171E-11</v>
      </c>
      <c r="AB11" s="347">
        <f t="shared" ref="AB11:AB22" si="20">2*PI()*D11*($B$2+$B$3)</f>
        <v>4.8066367599923837E-7</v>
      </c>
      <c r="AC11" s="347">
        <f t="shared" ref="AC11:AC22" si="21">1*(Y11*AA11+Z11*AB11)/(AA11^2+AB11^2)</f>
        <v>14417.531441610874</v>
      </c>
      <c r="AD11" s="347">
        <f t="shared" ref="AD11:AD22" si="22">1*(Z11*AA11-Y11*AB11)/(AA11^2+AB11^2)</f>
        <v>-2080458.7707082608</v>
      </c>
      <c r="AE11" s="354">
        <v>0</v>
      </c>
      <c r="AF11" s="317">
        <f t="shared" ref="AF11:AF22" si="23">-(1/(2*PI()*D11*$B$4))</f>
        <v>-51340304.223192044</v>
      </c>
      <c r="AG11" s="317">
        <f t="shared" ref="AG11:AG22" si="24">AC11*$AG$8+$B$6</f>
        <v>17417.531441610874</v>
      </c>
      <c r="AH11" s="355">
        <f t="shared" ref="AH11:AH22" si="25">AD11*$AG$8+AF11</f>
        <v>-53420762.993900307</v>
      </c>
      <c r="AI11" s="356">
        <f t="shared" ref="AI11:AI22" si="26">1*(AE11*AG11+AF11*AH11)/(AG11^2+AH11^2)</f>
        <v>0.96105513826771816</v>
      </c>
      <c r="AJ11" s="356">
        <f t="shared" ref="AJ11:AJ22" si="27">1*(AF11*AG11-AE11*AH11)/(AG11^2+AH11^2)</f>
        <v>-3.1334648083950026E-4</v>
      </c>
      <c r="AK11" s="357">
        <f t="shared" ref="AK11:AK22" si="28">SQRT(AI11^2+AJ11^2)</f>
        <v>0.96105518935012257</v>
      </c>
      <c r="AL11" s="338">
        <f t="shared" ref="AL11:AM11" si="29">$E$6*AI11</f>
        <v>6.7739049525606785E-9</v>
      </c>
      <c r="AM11" s="338">
        <f t="shared" si="29"/>
        <v>-2.208592612336536E-12</v>
      </c>
      <c r="AN11" s="338">
        <f t="shared" ref="AN11:AN22" si="30">AP11*AI11</f>
        <v>9.6105513826771818E-20</v>
      </c>
      <c r="AO11" s="338">
        <f t="shared" ref="AO11:AO22" si="31">$E$7*AJ11</f>
        <v>0</v>
      </c>
      <c r="AP11" s="358">
        <f t="shared" ref="AP11:AP22" si="32">IF(AG$8=1,0.0000000000000000001,Q36)</f>
        <v>9.9999999999999998E-20</v>
      </c>
    </row>
    <row r="12" spans="1:42" ht="15" customHeight="1">
      <c r="A12" s="359">
        <v>1</v>
      </c>
      <c r="B12" s="359">
        <v>1</v>
      </c>
      <c r="C12" s="360">
        <f t="shared" ref="C12:C13" si="33">B12*A$12</f>
        <v>1</v>
      </c>
      <c r="D12" s="360">
        <f t="shared" si="2"/>
        <v>1000</v>
      </c>
      <c r="E12" s="346">
        <f t="shared" si="3"/>
        <v>-62.673959849267796</v>
      </c>
      <c r="F12" s="346">
        <f t="shared" si="4"/>
        <v>-69.491634593672202</v>
      </c>
      <c r="G12" s="346">
        <f t="shared" si="5"/>
        <v>-286.45349663222964</v>
      </c>
      <c r="H12" s="325"/>
      <c r="I12" s="347">
        <f t="shared" si="6"/>
        <v>-7.5E-10</v>
      </c>
      <c r="J12" s="324">
        <v>0</v>
      </c>
      <c r="K12" s="347">
        <f t="shared" si="7"/>
        <v>7.9600061956441622E-10</v>
      </c>
      <c r="L12" s="348">
        <f t="shared" si="8"/>
        <v>3.6985656151447278E-12</v>
      </c>
      <c r="M12" s="349">
        <f t="shared" si="9"/>
        <v>-1.4849583656226889E-8</v>
      </c>
      <c r="N12" s="349">
        <f t="shared" si="10"/>
        <v>6.8997634122684674E-11</v>
      </c>
      <c r="O12" s="350"/>
      <c r="P12" s="351">
        <f t="shared" si="11"/>
        <v>7.6499999999999994E-10</v>
      </c>
      <c r="Q12" s="351">
        <f t="shared" si="12"/>
        <v>1.0602875205865549E-12</v>
      </c>
      <c r="R12" s="351">
        <f t="shared" si="13"/>
        <v>7.9600061956441622E-10</v>
      </c>
      <c r="S12" s="351">
        <f t="shared" si="14"/>
        <v>3.6985656151447278E-12</v>
      </c>
      <c r="T12" s="351">
        <f t="shared" si="15"/>
        <v>6.7737980351539056E-9</v>
      </c>
      <c r="U12" s="352">
        <f t="shared" si="16"/>
        <v>-2.2085411976108742E-11</v>
      </c>
      <c r="V12" s="349">
        <f t="shared" ref="V12:W12" si="34">AL12</f>
        <v>6.7738085795089547E-9</v>
      </c>
      <c r="W12" s="349">
        <f t="shared" si="34"/>
        <v>-2.2085495350118081E-11</v>
      </c>
      <c r="X12" s="328"/>
      <c r="Y12" s="324">
        <v>1</v>
      </c>
      <c r="Z12" s="353">
        <f t="shared" si="18"/>
        <v>7.0685834705770348E-2</v>
      </c>
      <c r="AA12" s="347">
        <f t="shared" si="19"/>
        <v>-6.661982970735316E-9</v>
      </c>
      <c r="AB12" s="347">
        <f t="shared" si="20"/>
        <v>4.8066367599923829E-6</v>
      </c>
      <c r="AC12" s="347">
        <f t="shared" si="21"/>
        <v>14417.504022731755</v>
      </c>
      <c r="AD12" s="347">
        <f t="shared" si="22"/>
        <v>-208065.65985815509</v>
      </c>
      <c r="AE12" s="354">
        <v>0</v>
      </c>
      <c r="AF12" s="317">
        <f t="shared" si="23"/>
        <v>-5134030.4223192045</v>
      </c>
      <c r="AG12" s="317">
        <f t="shared" si="24"/>
        <v>17417.504022731755</v>
      </c>
      <c r="AH12" s="355">
        <f t="shared" si="25"/>
        <v>-5342096.0821773596</v>
      </c>
      <c r="AI12" s="356">
        <f t="shared" si="26"/>
        <v>0.96104146523610667</v>
      </c>
      <c r="AJ12" s="356">
        <f t="shared" si="27"/>
        <v>-3.1334036919716656E-3</v>
      </c>
      <c r="AK12" s="357">
        <f t="shared" si="28"/>
        <v>0.96104657333651611</v>
      </c>
      <c r="AL12" s="338">
        <f t="shared" ref="AL12:AM12" si="35">$E$6*AI12</f>
        <v>6.7738085795089547E-9</v>
      </c>
      <c r="AM12" s="338">
        <f t="shared" si="35"/>
        <v>-2.2085495350118081E-11</v>
      </c>
      <c r="AN12" s="338">
        <f t="shared" si="30"/>
        <v>9.6104146523610666E-20</v>
      </c>
      <c r="AO12" s="338">
        <f t="shared" si="31"/>
        <v>0</v>
      </c>
      <c r="AP12" s="358">
        <f t="shared" si="32"/>
        <v>9.9999999999999998E-20</v>
      </c>
    </row>
    <row r="13" spans="1:42" ht="15" customHeight="1">
      <c r="A13" s="314"/>
      <c r="B13" s="309">
        <v>4</v>
      </c>
      <c r="C13" s="340">
        <f t="shared" si="33"/>
        <v>4</v>
      </c>
      <c r="D13" s="340">
        <f t="shared" si="2"/>
        <v>4000</v>
      </c>
      <c r="E13" s="346">
        <f t="shared" si="3"/>
        <v>-74.716667212915397</v>
      </c>
      <c r="F13" s="346">
        <f t="shared" si="4"/>
        <v>-81.534014073515692</v>
      </c>
      <c r="G13" s="346">
        <f t="shared" si="5"/>
        <v>-298.49656843817576</v>
      </c>
      <c r="H13" s="325"/>
      <c r="I13" s="347">
        <f t="shared" si="6"/>
        <v>-7.5E-10</v>
      </c>
      <c r="J13" s="324">
        <v>0</v>
      </c>
      <c r="K13" s="347">
        <f t="shared" si="7"/>
        <v>7.9600991303066035E-10</v>
      </c>
      <c r="L13" s="348">
        <f t="shared" si="8"/>
        <v>1.4794262460578911E-11</v>
      </c>
      <c r="M13" s="349">
        <f t="shared" si="9"/>
        <v>-1.4844603226823721E-8</v>
      </c>
      <c r="N13" s="349">
        <f t="shared" si="10"/>
        <v>2.7589475038651651E-10</v>
      </c>
      <c r="O13" s="350"/>
      <c r="P13" s="351">
        <f t="shared" si="11"/>
        <v>7.6499999999999994E-10</v>
      </c>
      <c r="Q13" s="351">
        <f t="shared" si="12"/>
        <v>4.2411500823462197E-12</v>
      </c>
      <c r="R13" s="351">
        <f t="shared" si="13"/>
        <v>7.9600991303066035E-10</v>
      </c>
      <c r="S13" s="351">
        <f t="shared" si="14"/>
        <v>1.4794262460578911E-11</v>
      </c>
      <c r="T13" s="351">
        <f t="shared" si="15"/>
        <v>6.7721802699172996E-9</v>
      </c>
      <c r="U13" s="352">
        <f t="shared" si="16"/>
        <v>-8.8310549493187276E-11</v>
      </c>
      <c r="V13" s="349">
        <f t="shared" ref="V13:W13" si="36">AL13</f>
        <v>6.7723488483567599E-9</v>
      </c>
      <c r="W13" s="349">
        <f t="shared" si="36"/>
        <v>-8.8315882278252765E-11</v>
      </c>
      <c r="X13" s="328"/>
      <c r="Y13" s="324">
        <v>1</v>
      </c>
      <c r="Z13" s="353">
        <f t="shared" si="18"/>
        <v>0.28274333882308139</v>
      </c>
      <c r="AA13" s="347">
        <f t="shared" si="19"/>
        <v>-1.0659172753176506E-7</v>
      </c>
      <c r="AB13" s="347">
        <f t="shared" si="20"/>
        <v>1.9226547039969531E-5</v>
      </c>
      <c r="AC13" s="347">
        <f t="shared" si="21"/>
        <v>14417.088597929751</v>
      </c>
      <c r="AD13" s="347">
        <f t="shared" si="22"/>
        <v>-52091.347463357051</v>
      </c>
      <c r="AE13" s="354">
        <v>0</v>
      </c>
      <c r="AF13" s="317">
        <f t="shared" si="23"/>
        <v>-1283507.6055798011</v>
      </c>
      <c r="AG13" s="317">
        <f t="shared" si="24"/>
        <v>17417.088597929753</v>
      </c>
      <c r="AH13" s="355">
        <f t="shared" si="25"/>
        <v>-1335598.9530431582</v>
      </c>
      <c r="AI13" s="356">
        <f t="shared" si="26"/>
        <v>0.96083436429003033</v>
      </c>
      <c r="AJ13" s="356">
        <f t="shared" si="27"/>
        <v>-1.2529911926513917E-2</v>
      </c>
      <c r="AK13" s="357">
        <f t="shared" si="28"/>
        <v>0.9609160599623221</v>
      </c>
      <c r="AL13" s="338">
        <f t="shared" ref="AL13:AM13" si="37">$E$6*AI13</f>
        <v>6.7723488483567599E-9</v>
      </c>
      <c r="AM13" s="338">
        <f t="shared" si="37"/>
        <v>-8.8315882278252765E-11</v>
      </c>
      <c r="AN13" s="338">
        <f t="shared" si="30"/>
        <v>9.608343642900303E-20</v>
      </c>
      <c r="AO13" s="338">
        <f t="shared" si="31"/>
        <v>0</v>
      </c>
      <c r="AP13" s="358">
        <f t="shared" si="32"/>
        <v>9.9999999999999998E-20</v>
      </c>
    </row>
    <row r="14" spans="1:42" ht="15" customHeight="1">
      <c r="A14" s="359">
        <v>10</v>
      </c>
      <c r="B14" s="359">
        <v>1</v>
      </c>
      <c r="C14" s="360">
        <f t="shared" ref="C14:C17" si="38">B14*A$14</f>
        <v>10</v>
      </c>
      <c r="D14" s="360">
        <f t="shared" si="2"/>
        <v>10000</v>
      </c>
      <c r="E14" s="346">
        <f t="shared" si="3"/>
        <v>-82.683899958904647</v>
      </c>
      <c r="F14" s="346">
        <f t="shared" si="4"/>
        <v>-89.49941315828346</v>
      </c>
      <c r="G14" s="346">
        <f t="shared" si="5"/>
        <v>-306.46583842593856</v>
      </c>
      <c r="H14" s="325"/>
      <c r="I14" s="347">
        <f t="shared" si="6"/>
        <v>-7.5E-10</v>
      </c>
      <c r="J14" s="324">
        <v>0</v>
      </c>
      <c r="K14" s="347">
        <f t="shared" si="7"/>
        <v>7.9606195644162781E-10</v>
      </c>
      <c r="L14" s="348">
        <f t="shared" si="8"/>
        <v>3.6985656151447276E-11</v>
      </c>
      <c r="M14" s="349">
        <f t="shared" si="9"/>
        <v>-1.4816776509967572E-8</v>
      </c>
      <c r="N14" s="349">
        <f t="shared" si="10"/>
        <v>6.8839893281683899E-10</v>
      </c>
      <c r="O14" s="350"/>
      <c r="P14" s="351">
        <f t="shared" si="11"/>
        <v>7.6499999999999994E-10</v>
      </c>
      <c r="Q14" s="351">
        <f t="shared" si="12"/>
        <v>1.0602875205865552E-11</v>
      </c>
      <c r="R14" s="351">
        <f t="shared" si="13"/>
        <v>7.9606195644162781E-10</v>
      </c>
      <c r="S14" s="351">
        <f t="shared" si="14"/>
        <v>3.6985656151447276E-11</v>
      </c>
      <c r="T14" s="351">
        <f t="shared" si="15"/>
        <v>6.7631414621444295E-9</v>
      </c>
      <c r="U14" s="352">
        <f t="shared" si="16"/>
        <v>-2.2034199021663704E-10</v>
      </c>
      <c r="V14" s="349">
        <f t="shared" ref="V14:W14" si="39">AL14</f>
        <v>6.7641904994552641E-9</v>
      </c>
      <c r="W14" s="349">
        <f t="shared" si="39"/>
        <v>-2.2042504007851207E-10</v>
      </c>
      <c r="X14" s="328"/>
      <c r="Y14" s="324">
        <v>1</v>
      </c>
      <c r="Z14" s="353">
        <f t="shared" si="18"/>
        <v>0.70685834705770345</v>
      </c>
      <c r="AA14" s="347">
        <f t="shared" si="19"/>
        <v>-6.661982970735316E-7</v>
      </c>
      <c r="AB14" s="347">
        <f t="shared" si="20"/>
        <v>4.8066367599923832E-5</v>
      </c>
      <c r="AC14" s="347">
        <f t="shared" si="21"/>
        <v>14414.762661378969</v>
      </c>
      <c r="AD14" s="347">
        <f t="shared" si="22"/>
        <v>-21004.355867725888</v>
      </c>
      <c r="AE14" s="354">
        <v>0</v>
      </c>
      <c r="AF14" s="317">
        <f t="shared" si="23"/>
        <v>-513403.04223192041</v>
      </c>
      <c r="AG14" s="317">
        <f t="shared" si="24"/>
        <v>17414.762661378969</v>
      </c>
      <c r="AH14" s="355">
        <f t="shared" si="25"/>
        <v>-534407.39809964632</v>
      </c>
      <c r="AI14" s="356">
        <f t="shared" si="26"/>
        <v>0.95967688965959597</v>
      </c>
      <c r="AJ14" s="356">
        <f t="shared" si="27"/>
        <v>-3.1273042484932054E-2</v>
      </c>
      <c r="AK14" s="357">
        <f t="shared" si="28"/>
        <v>0.96018630261683102</v>
      </c>
      <c r="AL14" s="338">
        <f t="shared" ref="AL14:AM14" si="40">$E$6*AI14</f>
        <v>6.7641904994552641E-9</v>
      </c>
      <c r="AM14" s="338">
        <f t="shared" si="40"/>
        <v>-2.2042504007851207E-10</v>
      </c>
      <c r="AN14" s="338">
        <f t="shared" si="30"/>
        <v>9.5967688965959593E-20</v>
      </c>
      <c r="AO14" s="338">
        <f t="shared" si="31"/>
        <v>0</v>
      </c>
      <c r="AP14" s="358">
        <f t="shared" si="32"/>
        <v>9.9999999999999998E-20</v>
      </c>
    </row>
    <row r="15" spans="1:42" ht="15" customHeight="1">
      <c r="A15" s="314"/>
      <c r="B15" s="309">
        <v>2</v>
      </c>
      <c r="C15" s="340">
        <f t="shared" si="38"/>
        <v>20</v>
      </c>
      <c r="D15" s="340">
        <f t="shared" si="2"/>
        <v>20000</v>
      </c>
      <c r="E15" s="346">
        <f t="shared" si="3"/>
        <v>-88.734483543840327</v>
      </c>
      <c r="F15" s="346">
        <f t="shared" si="4"/>
        <v>-95.543482133004744</v>
      </c>
      <c r="G15" s="346">
        <f t="shared" si="5"/>
        <v>-312.52364773573385</v>
      </c>
      <c r="H15" s="325"/>
      <c r="I15" s="347">
        <f t="shared" si="6"/>
        <v>-7.5E-10</v>
      </c>
      <c r="J15" s="324">
        <v>0</v>
      </c>
      <c r="K15" s="347">
        <f t="shared" si="7"/>
        <v>7.962478257665113E-10</v>
      </c>
      <c r="L15" s="348">
        <f t="shared" si="8"/>
        <v>7.3971312302894553E-11</v>
      </c>
      <c r="M15" s="349">
        <f t="shared" si="9"/>
        <v>-1.471826956951561E-8</v>
      </c>
      <c r="N15" s="349">
        <f t="shared" si="10"/>
        <v>1.367325196570249E-9</v>
      </c>
      <c r="O15" s="350"/>
      <c r="P15" s="351">
        <f t="shared" si="11"/>
        <v>7.6499999999999994E-10</v>
      </c>
      <c r="Q15" s="351">
        <f t="shared" si="12"/>
        <v>2.1205750411731104E-11</v>
      </c>
      <c r="R15" s="351">
        <f t="shared" si="13"/>
        <v>7.962478257665113E-10</v>
      </c>
      <c r="S15" s="351">
        <f t="shared" si="14"/>
        <v>7.3971312302894553E-11</v>
      </c>
      <c r="T15" s="351">
        <f t="shared" si="15"/>
        <v>6.731143829924489E-9</v>
      </c>
      <c r="U15" s="352">
        <f t="shared" si="16"/>
        <v>-4.3760853532613404E-10</v>
      </c>
      <c r="V15" s="349">
        <f t="shared" ref="V15:W15" si="41">AL15</f>
        <v>6.7352754295400678E-9</v>
      </c>
      <c r="W15" s="349">
        <f t="shared" si="41"/>
        <v>-4.3826517341496622E-10</v>
      </c>
      <c r="X15" s="328"/>
      <c r="Y15" s="324">
        <v>1</v>
      </c>
      <c r="Z15" s="353">
        <f t="shared" si="18"/>
        <v>1.4137166941154069</v>
      </c>
      <c r="AA15" s="347">
        <f t="shared" si="19"/>
        <v>-2.6647931882941264E-6</v>
      </c>
      <c r="AB15" s="347">
        <f t="shared" si="20"/>
        <v>9.6132735199847664E-5</v>
      </c>
      <c r="AC15" s="347">
        <f t="shared" si="21"/>
        <v>14406.461868092989</v>
      </c>
      <c r="AD15" s="347">
        <f t="shared" si="22"/>
        <v>-10801.630051353817</v>
      </c>
      <c r="AE15" s="354">
        <v>0</v>
      </c>
      <c r="AF15" s="317">
        <f t="shared" si="23"/>
        <v>-256701.5211159602</v>
      </c>
      <c r="AG15" s="317">
        <f t="shared" si="24"/>
        <v>17406.461868092989</v>
      </c>
      <c r="AH15" s="355">
        <f t="shared" si="25"/>
        <v>-267503.15116731403</v>
      </c>
      <c r="AI15" s="356">
        <f t="shared" si="26"/>
        <v>0.95557453264248648</v>
      </c>
      <c r="AJ15" s="356">
        <f t="shared" si="27"/>
        <v>-6.2179348512267585E-2</v>
      </c>
      <c r="AK15" s="357">
        <f t="shared" si="28"/>
        <v>0.95759540455054215</v>
      </c>
      <c r="AL15" s="338">
        <f t="shared" ref="AL15:AM15" si="42">$E$6*AI15</f>
        <v>6.7352754295400678E-9</v>
      </c>
      <c r="AM15" s="338">
        <f t="shared" si="42"/>
        <v>-4.3826517341496622E-10</v>
      </c>
      <c r="AN15" s="338">
        <f t="shared" si="30"/>
        <v>9.555745326424865E-20</v>
      </c>
      <c r="AO15" s="338">
        <f t="shared" si="31"/>
        <v>0</v>
      </c>
      <c r="AP15" s="358">
        <f t="shared" si="32"/>
        <v>9.9999999999999998E-20</v>
      </c>
    </row>
    <row r="16" spans="1:42" ht="15" customHeight="1">
      <c r="A16" s="314"/>
      <c r="B16" s="309">
        <v>4</v>
      </c>
      <c r="C16" s="340">
        <f t="shared" si="38"/>
        <v>40</v>
      </c>
      <c r="D16" s="340">
        <f t="shared" si="2"/>
        <v>40000</v>
      </c>
      <c r="E16" s="346">
        <f t="shared" si="3"/>
        <v>-94.872994543545389</v>
      </c>
      <c r="F16" s="346">
        <f t="shared" si="4"/>
        <v>-101.65645153981636</v>
      </c>
      <c r="G16" s="346">
        <f t="shared" si="5"/>
        <v>-318.69029156252918</v>
      </c>
      <c r="H16" s="325"/>
      <c r="I16" s="347">
        <f t="shared" si="6"/>
        <v>-7.5E-10</v>
      </c>
      <c r="J16" s="324">
        <v>0</v>
      </c>
      <c r="K16" s="347">
        <f t="shared" si="7"/>
        <v>7.969913030660454E-10</v>
      </c>
      <c r="L16" s="348">
        <f t="shared" si="8"/>
        <v>1.4794262460578911E-10</v>
      </c>
      <c r="M16" s="349">
        <f t="shared" si="9"/>
        <v>-1.4337418661840336E-8</v>
      </c>
      <c r="N16" s="349">
        <f t="shared" si="10"/>
        <v>2.661403378863353E-9</v>
      </c>
      <c r="O16" s="350"/>
      <c r="P16" s="351">
        <f t="shared" si="11"/>
        <v>7.6499999999999994E-10</v>
      </c>
      <c r="Q16" s="351">
        <f t="shared" si="12"/>
        <v>4.2411500823462208E-11</v>
      </c>
      <c r="R16" s="351">
        <f t="shared" si="13"/>
        <v>7.969913030660454E-10</v>
      </c>
      <c r="S16" s="351">
        <f t="shared" si="14"/>
        <v>1.4794262460578911E-10</v>
      </c>
      <c r="T16" s="351">
        <f t="shared" si="15"/>
        <v>6.6074314373286992E-9</v>
      </c>
      <c r="U16" s="352">
        <f t="shared" si="16"/>
        <v>-8.5143633426510216E-10</v>
      </c>
      <c r="V16" s="349">
        <f t="shared" ref="V16:W16" si="43">AL16</f>
        <v>6.6229757457492269E-9</v>
      </c>
      <c r="W16" s="349">
        <f t="shared" si="43"/>
        <v>-8.564522903146306E-10</v>
      </c>
      <c r="X16" s="328"/>
      <c r="Y16" s="324">
        <v>1</v>
      </c>
      <c r="Z16" s="353">
        <f t="shared" si="18"/>
        <v>2.8274333882308138</v>
      </c>
      <c r="AA16" s="347">
        <f t="shared" si="19"/>
        <v>-1.0659172753176506E-5</v>
      </c>
      <c r="AB16" s="347">
        <f t="shared" si="20"/>
        <v>1.9226547039969533E-4</v>
      </c>
      <c r="AC16" s="347">
        <f t="shared" si="21"/>
        <v>14373.354076084324</v>
      </c>
      <c r="AD16" s="347">
        <f t="shared" si="22"/>
        <v>-5997.998817687775</v>
      </c>
      <c r="AE16" s="354">
        <v>0</v>
      </c>
      <c r="AF16" s="317">
        <f t="shared" si="23"/>
        <v>-128350.7605579801</v>
      </c>
      <c r="AG16" s="317">
        <f t="shared" si="24"/>
        <v>17373.354076084324</v>
      </c>
      <c r="AH16" s="355">
        <f t="shared" si="25"/>
        <v>-134348.75937566787</v>
      </c>
      <c r="AI16" s="356">
        <f t="shared" si="26"/>
        <v>0.93964189277097054</v>
      </c>
      <c r="AJ16" s="356">
        <f t="shared" si="27"/>
        <v>-0.12151010090226952</v>
      </c>
      <c r="AK16" s="357">
        <f t="shared" si="28"/>
        <v>0.9474658786845529</v>
      </c>
      <c r="AL16" s="338">
        <f t="shared" ref="AL16:AM16" si="44">$E$6*AI16</f>
        <v>6.6229757457492269E-9</v>
      </c>
      <c r="AM16" s="338">
        <f t="shared" si="44"/>
        <v>-8.564522903146306E-10</v>
      </c>
      <c r="AN16" s="338">
        <f t="shared" si="30"/>
        <v>9.3964189277097048E-20</v>
      </c>
      <c r="AO16" s="338">
        <f t="shared" si="31"/>
        <v>0</v>
      </c>
      <c r="AP16" s="358">
        <f t="shared" si="32"/>
        <v>9.9999999999999998E-20</v>
      </c>
    </row>
    <row r="17" spans="1:42" ht="15" customHeight="1">
      <c r="A17" s="314"/>
      <c r="B17" s="309">
        <v>8</v>
      </c>
      <c r="C17" s="340">
        <f t="shared" si="38"/>
        <v>80</v>
      </c>
      <c r="D17" s="340">
        <f t="shared" si="2"/>
        <v>80000</v>
      </c>
      <c r="E17" s="346">
        <f t="shared" si="3"/>
        <v>-101.335682448613</v>
      </c>
      <c r="F17" s="346">
        <f t="shared" si="4"/>
        <v>-108.02427995696901</v>
      </c>
      <c r="G17" s="346">
        <f t="shared" si="5"/>
        <v>-325.25399718340088</v>
      </c>
      <c r="H17" s="325"/>
      <c r="I17" s="347">
        <f t="shared" si="6"/>
        <v>-7.5E-10</v>
      </c>
      <c r="J17" s="324">
        <v>0</v>
      </c>
      <c r="K17" s="347">
        <f t="shared" si="7"/>
        <v>7.9996521226418156E-10</v>
      </c>
      <c r="L17" s="348">
        <f t="shared" si="8"/>
        <v>2.9588524921157821E-10</v>
      </c>
      <c r="M17" s="349">
        <f t="shared" si="9"/>
        <v>-1.2998094408749674E-8</v>
      </c>
      <c r="N17" s="349">
        <f t="shared" si="10"/>
        <v>4.8076395628794271E-9</v>
      </c>
      <c r="O17" s="350"/>
      <c r="P17" s="351">
        <f t="shared" si="11"/>
        <v>7.6499999999999994E-10</v>
      </c>
      <c r="Q17" s="351">
        <f t="shared" si="12"/>
        <v>8.4823001646924417E-11</v>
      </c>
      <c r="R17" s="351">
        <f t="shared" si="13"/>
        <v>7.9996521226418156E-10</v>
      </c>
      <c r="S17" s="351">
        <f t="shared" si="14"/>
        <v>2.9588524921157821E-10</v>
      </c>
      <c r="T17" s="351">
        <f t="shared" si="15"/>
        <v>6.1723470218930558E-9</v>
      </c>
      <c r="U17" s="352">
        <f t="shared" si="16"/>
        <v>-1.5356163337169095E-9</v>
      </c>
      <c r="V17" s="349">
        <f t="shared" ref="V17:W17" si="45">AL17</f>
        <v>6.2215397357709333E-9</v>
      </c>
      <c r="W17" s="349">
        <f t="shared" si="45"/>
        <v>-1.569369255000376E-9</v>
      </c>
      <c r="X17" s="328"/>
      <c r="Y17" s="324">
        <v>1</v>
      </c>
      <c r="Z17" s="353">
        <f t="shared" si="18"/>
        <v>5.6548667764616276</v>
      </c>
      <c r="AA17" s="347">
        <f t="shared" si="19"/>
        <v>-4.2636691012706023E-5</v>
      </c>
      <c r="AB17" s="347">
        <f t="shared" si="20"/>
        <v>3.8453094079939066E-4</v>
      </c>
      <c r="AC17" s="347">
        <f t="shared" si="21"/>
        <v>14242.430761349049</v>
      </c>
      <c r="AD17" s="347">
        <f t="shared" si="22"/>
        <v>-4179.7679955226267</v>
      </c>
      <c r="AE17" s="354">
        <v>0</v>
      </c>
      <c r="AF17" s="317">
        <f t="shared" si="23"/>
        <v>-64175.380278990051</v>
      </c>
      <c r="AG17" s="317">
        <f t="shared" si="24"/>
        <v>17242.430761349049</v>
      </c>
      <c r="AH17" s="355">
        <f t="shared" si="25"/>
        <v>-68355.14827451267</v>
      </c>
      <c r="AI17" s="356">
        <f t="shared" si="26"/>
        <v>0.88268772190834444</v>
      </c>
      <c r="AJ17" s="356">
        <f t="shared" si="27"/>
        <v>-0.22265597124851033</v>
      </c>
      <c r="AK17" s="357">
        <f t="shared" si="28"/>
        <v>0.91033691342291523</v>
      </c>
      <c r="AL17" s="338">
        <f t="shared" ref="AL17:AM17" si="46">$E$6*AI17</f>
        <v>6.2215397357709333E-9</v>
      </c>
      <c r="AM17" s="338">
        <f t="shared" si="46"/>
        <v>-1.569369255000376E-9</v>
      </c>
      <c r="AN17" s="338">
        <f t="shared" si="30"/>
        <v>8.8268772190834437E-20</v>
      </c>
      <c r="AO17" s="338">
        <f t="shared" si="31"/>
        <v>0</v>
      </c>
      <c r="AP17" s="358">
        <f t="shared" si="32"/>
        <v>9.9999999999999998E-20</v>
      </c>
    </row>
    <row r="18" spans="1:42" ht="15" customHeight="1">
      <c r="A18" s="359">
        <v>100</v>
      </c>
      <c r="B18" s="359">
        <v>1</v>
      </c>
      <c r="C18" s="360">
        <f t="shared" ref="C18:C20" si="47">B18*A$18</f>
        <v>100</v>
      </c>
      <c r="D18" s="360">
        <f t="shared" si="2"/>
        <v>100000</v>
      </c>
      <c r="E18" s="346">
        <f t="shared" si="3"/>
        <v>-103.57827931493131</v>
      </c>
      <c r="F18" s="346">
        <f t="shared" si="4"/>
        <v>-110.2021347739182</v>
      </c>
      <c r="G18" s="346">
        <f t="shared" si="5"/>
        <v>-327.56145804273626</v>
      </c>
      <c r="H18" s="325"/>
      <c r="I18" s="347">
        <f t="shared" si="6"/>
        <v>-7.5E-10</v>
      </c>
      <c r="J18" s="324">
        <v>0</v>
      </c>
      <c r="K18" s="347">
        <f t="shared" si="7"/>
        <v>8.0219564416278374E-10</v>
      </c>
      <c r="L18" s="348">
        <f t="shared" si="8"/>
        <v>3.6985656151447276E-10</v>
      </c>
      <c r="M18" s="349">
        <f t="shared" si="9"/>
        <v>-1.2152040953716874E-8</v>
      </c>
      <c r="N18" s="349">
        <f t="shared" si="10"/>
        <v>5.6027630107808694E-9</v>
      </c>
      <c r="O18" s="350"/>
      <c r="P18" s="351">
        <f t="shared" si="11"/>
        <v>7.6499999999999994E-10</v>
      </c>
      <c r="Q18" s="351">
        <f t="shared" si="12"/>
        <v>1.060287520586555E-10</v>
      </c>
      <c r="R18" s="351">
        <f t="shared" si="13"/>
        <v>8.0219564416278374E-10</v>
      </c>
      <c r="S18" s="351">
        <f t="shared" si="14"/>
        <v>3.6985656151447276E-10</v>
      </c>
      <c r="T18" s="351">
        <f t="shared" si="15"/>
        <v>5.8974744353199219E-9</v>
      </c>
      <c r="U18" s="352">
        <f t="shared" si="16"/>
        <v>-1.7874518998662673E-9</v>
      </c>
      <c r="V18" s="349">
        <f t="shared" ref="V18:W18" si="48">AL18</f>
        <v>5.9625886528478916E-9</v>
      </c>
      <c r="W18" s="349">
        <f t="shared" si="48"/>
        <v>-1.8459876019274694E-9</v>
      </c>
      <c r="X18" s="328"/>
      <c r="Y18" s="324">
        <v>1</v>
      </c>
      <c r="Z18" s="353">
        <f t="shared" si="18"/>
        <v>7.0685834705770336</v>
      </c>
      <c r="AA18" s="347">
        <f t="shared" si="19"/>
        <v>-6.6619829707353163E-5</v>
      </c>
      <c r="AB18" s="347">
        <f t="shared" si="20"/>
        <v>4.8066367599923829E-4</v>
      </c>
      <c r="AC18" s="347">
        <f t="shared" si="21"/>
        <v>14145.792874177283</v>
      </c>
      <c r="AD18" s="347">
        <f t="shared" si="22"/>
        <v>-4041.0590800629971</v>
      </c>
      <c r="AE18" s="354">
        <v>0</v>
      </c>
      <c r="AF18" s="317">
        <f t="shared" si="23"/>
        <v>-51340.304223192041</v>
      </c>
      <c r="AG18" s="317">
        <f t="shared" si="24"/>
        <v>17145.792874177285</v>
      </c>
      <c r="AH18" s="355">
        <f t="shared" si="25"/>
        <v>-55381.363303255035</v>
      </c>
      <c r="AI18" s="356">
        <f t="shared" si="26"/>
        <v>0.84594875516079615</v>
      </c>
      <c r="AJ18" s="356">
        <f t="shared" si="27"/>
        <v>-0.26190150030673992</v>
      </c>
      <c r="AK18" s="357">
        <f t="shared" si="28"/>
        <v>0.88556292391959479</v>
      </c>
      <c r="AL18" s="338">
        <f t="shared" ref="AL18:AM18" si="49">$E$6*AI18</f>
        <v>5.9625886528478916E-9</v>
      </c>
      <c r="AM18" s="338">
        <f t="shared" si="49"/>
        <v>-1.8459876019274694E-9</v>
      </c>
      <c r="AN18" s="338">
        <f t="shared" si="30"/>
        <v>8.4594875516079617E-20</v>
      </c>
      <c r="AO18" s="338">
        <f t="shared" si="31"/>
        <v>0</v>
      </c>
      <c r="AP18" s="358">
        <f t="shared" si="32"/>
        <v>9.9999999999999998E-20</v>
      </c>
    </row>
    <row r="19" spans="1:42" ht="15" customHeight="1">
      <c r="A19" s="309">
        <v>100</v>
      </c>
      <c r="B19" s="309">
        <v>2</v>
      </c>
      <c r="C19" s="340">
        <f t="shared" si="47"/>
        <v>200</v>
      </c>
      <c r="D19" s="340">
        <f t="shared" si="2"/>
        <v>200000</v>
      </c>
      <c r="E19" s="346">
        <f t="shared" si="3"/>
        <v>-111.54285490769948</v>
      </c>
      <c r="F19" s="346">
        <f t="shared" si="4"/>
        <v>-117.74886260014975</v>
      </c>
      <c r="G19" s="346">
        <f t="shared" si="5"/>
        <v>-335.81730782976297</v>
      </c>
      <c r="H19" s="325"/>
      <c r="I19" s="347">
        <f t="shared" si="6"/>
        <v>-7.5E-10</v>
      </c>
      <c r="J19" s="324">
        <v>0</v>
      </c>
      <c r="K19" s="347">
        <f t="shared" si="7"/>
        <v>8.2078257665113535E-10</v>
      </c>
      <c r="L19" s="348">
        <f t="shared" si="8"/>
        <v>7.3971312302894553E-10</v>
      </c>
      <c r="M19" s="349">
        <f t="shared" si="9"/>
        <v>-7.9469317978310461E-9</v>
      </c>
      <c r="N19" s="349">
        <f t="shared" si="10"/>
        <v>7.1620060000009084E-9</v>
      </c>
      <c r="O19" s="350"/>
      <c r="P19" s="351">
        <f t="shared" si="11"/>
        <v>7.6499999999999994E-10</v>
      </c>
      <c r="Q19" s="351">
        <f t="shared" si="12"/>
        <v>2.1205750411731101E-10</v>
      </c>
      <c r="R19" s="351">
        <f t="shared" si="13"/>
        <v>8.2078257665113535E-10</v>
      </c>
      <c r="S19" s="351">
        <f t="shared" si="14"/>
        <v>7.3971312302894553E-10</v>
      </c>
      <c r="T19" s="351">
        <f t="shared" si="15"/>
        <v>4.5306672358979395E-9</v>
      </c>
      <c r="U19" s="352">
        <f t="shared" si="16"/>
        <v>-2.2621423592581E-9</v>
      </c>
      <c r="V19" s="349">
        <f t="shared" ref="V19:W19" si="50">AL19</f>
        <v>4.6096967437857565E-9</v>
      </c>
      <c r="W19" s="349">
        <f t="shared" si="50"/>
        <v>-2.4833284888175234E-9</v>
      </c>
      <c r="X19" s="328"/>
      <c r="Y19" s="324">
        <v>1</v>
      </c>
      <c r="Z19" s="353">
        <f t="shared" si="18"/>
        <v>14.137166941154067</v>
      </c>
      <c r="AA19" s="347">
        <f t="shared" si="19"/>
        <v>-2.6647931882941265E-4</v>
      </c>
      <c r="AB19" s="347">
        <f t="shared" si="20"/>
        <v>9.6132735199847658E-4</v>
      </c>
      <c r="AC19" s="347">
        <f t="shared" si="21"/>
        <v>13388.747327612113</v>
      </c>
      <c r="AD19" s="347">
        <f t="shared" si="22"/>
        <v>-4751.580466680025</v>
      </c>
      <c r="AE19" s="354">
        <v>0</v>
      </c>
      <c r="AF19" s="317">
        <f t="shared" si="23"/>
        <v>-25670.15211159602</v>
      </c>
      <c r="AG19" s="317">
        <f t="shared" si="24"/>
        <v>16388.747327612113</v>
      </c>
      <c r="AH19" s="355">
        <f t="shared" si="25"/>
        <v>-30421.732578276045</v>
      </c>
      <c r="AI19" s="356">
        <f t="shared" si="26"/>
        <v>0.65400574299416059</v>
      </c>
      <c r="AJ19" s="356">
        <f t="shared" si="27"/>
        <v>-0.35232493235419515</v>
      </c>
      <c r="AK19" s="357">
        <f t="shared" si="28"/>
        <v>0.74287035869506346</v>
      </c>
      <c r="AL19" s="338">
        <f t="shared" ref="AL19:AM19" si="51">$E$6*AI19</f>
        <v>4.6096967437857565E-9</v>
      </c>
      <c r="AM19" s="338">
        <f t="shared" si="51"/>
        <v>-2.4833284888175234E-9</v>
      </c>
      <c r="AN19" s="338">
        <f t="shared" si="30"/>
        <v>6.5400574299416054E-20</v>
      </c>
      <c r="AO19" s="338">
        <f t="shared" si="31"/>
        <v>0</v>
      </c>
      <c r="AP19" s="358">
        <f t="shared" si="32"/>
        <v>9.9999999999999998E-20</v>
      </c>
    </row>
    <row r="20" spans="1:42" ht="15" customHeight="1">
      <c r="A20" s="314"/>
      <c r="B20" s="309">
        <v>4</v>
      </c>
      <c r="C20" s="340">
        <f t="shared" si="47"/>
        <v>400</v>
      </c>
      <c r="D20" s="340">
        <f t="shared" si="2"/>
        <v>400000</v>
      </c>
      <c r="E20" s="346">
        <f t="shared" si="3"/>
        <v>-121.45345199482884</v>
      </c>
      <c r="F20" s="346">
        <f t="shared" si="4"/>
        <v>-126.62269834421051</v>
      </c>
      <c r="G20" s="346">
        <f t="shared" si="5"/>
        <v>-345.40054340703159</v>
      </c>
      <c r="H20" s="325"/>
      <c r="I20" s="347">
        <f t="shared" si="6"/>
        <v>-7.5E-10</v>
      </c>
      <c r="J20" s="324">
        <v>0</v>
      </c>
      <c r="K20" s="347">
        <f t="shared" si="7"/>
        <v>8.9513030660454148E-10</v>
      </c>
      <c r="L20" s="348">
        <f t="shared" si="8"/>
        <v>1.4794262460578911E-9</v>
      </c>
      <c r="M20" s="349">
        <f t="shared" si="9"/>
        <v>-3.5388153388598534E-9</v>
      </c>
      <c r="N20" s="349">
        <f t="shared" si="10"/>
        <v>5.8487755957239241E-9</v>
      </c>
      <c r="O20" s="350"/>
      <c r="P20" s="351">
        <f t="shared" si="11"/>
        <v>7.6499999999999994E-10</v>
      </c>
      <c r="Q20" s="351">
        <f t="shared" si="12"/>
        <v>4.2411500823462202E-10</v>
      </c>
      <c r="R20" s="351">
        <f t="shared" si="13"/>
        <v>8.9513030660454148E-10</v>
      </c>
      <c r="S20" s="351">
        <f t="shared" si="14"/>
        <v>1.4794262460578911E-9</v>
      </c>
      <c r="T20" s="351">
        <f t="shared" si="15"/>
        <v>3.093374796814101E-9</v>
      </c>
      <c r="U20" s="352">
        <f t="shared" si="16"/>
        <v>-1.7730222062820257E-9</v>
      </c>
      <c r="V20" s="349">
        <f t="shared" ref="V20:W20" si="52">AL20</f>
        <v>3.0587259834851705E-9</v>
      </c>
      <c r="W20" s="349">
        <f t="shared" si="52"/>
        <v>-2.2038920071399395E-9</v>
      </c>
      <c r="X20" s="328"/>
      <c r="Y20" s="324">
        <v>1</v>
      </c>
      <c r="Z20" s="353">
        <f t="shared" si="18"/>
        <v>28.274333882308134</v>
      </c>
      <c r="AA20" s="347">
        <f t="shared" si="19"/>
        <v>-1.0659172753176506E-3</v>
      </c>
      <c r="AB20" s="347">
        <f t="shared" si="20"/>
        <v>1.9226547039969532E-3</v>
      </c>
      <c r="AC20" s="347">
        <f t="shared" si="21"/>
        <v>11027.991241083451</v>
      </c>
      <c r="AD20" s="347">
        <f t="shared" si="22"/>
        <v>-6634.0182402002438</v>
      </c>
      <c r="AE20" s="354">
        <v>0</v>
      </c>
      <c r="AF20" s="317">
        <f t="shared" si="23"/>
        <v>-12835.07605579801</v>
      </c>
      <c r="AG20" s="317">
        <f t="shared" si="24"/>
        <v>14027.991241083451</v>
      </c>
      <c r="AH20" s="355">
        <f t="shared" si="25"/>
        <v>-19469.094295998253</v>
      </c>
      <c r="AI20" s="356">
        <f t="shared" si="26"/>
        <v>0.43396007820720461</v>
      </c>
      <c r="AJ20" s="356">
        <f t="shared" si="27"/>
        <v>-0.31267957736081337</v>
      </c>
      <c r="AK20" s="357">
        <f t="shared" si="28"/>
        <v>0.53487369310533495</v>
      </c>
      <c r="AL20" s="338">
        <f t="shared" ref="AL20:AM20" si="53">$E$6*AI20</f>
        <v>3.0587259834851705E-9</v>
      </c>
      <c r="AM20" s="338">
        <f t="shared" si="53"/>
        <v>-2.2038920071399395E-9</v>
      </c>
      <c r="AN20" s="338">
        <f t="shared" si="30"/>
        <v>4.339600782072046E-20</v>
      </c>
      <c r="AO20" s="338">
        <f t="shared" si="31"/>
        <v>0</v>
      </c>
      <c r="AP20" s="358">
        <f t="shared" si="32"/>
        <v>9.9999999999999998E-20</v>
      </c>
    </row>
    <row r="21" spans="1:42" ht="15" customHeight="1">
      <c r="A21" s="359">
        <v>1000</v>
      </c>
      <c r="B21" s="359">
        <v>1</v>
      </c>
      <c r="C21" s="360">
        <f>B21*A$21</f>
        <v>1000</v>
      </c>
      <c r="D21" s="360">
        <f t="shared" si="2"/>
        <v>1000000</v>
      </c>
      <c r="E21" s="346">
        <f t="shared" si="3"/>
        <v>-136.60994761359854</v>
      </c>
      <c r="F21" s="346">
        <f t="shared" si="4"/>
        <v>-138.18853667231582</v>
      </c>
      <c r="G21" s="346">
        <f t="shared" si="5"/>
        <v>-356.68635160027134</v>
      </c>
      <c r="H21" s="325"/>
      <c r="I21" s="347">
        <f t="shared" si="6"/>
        <v>-7.5E-10</v>
      </c>
      <c r="J21" s="324">
        <v>0</v>
      </c>
      <c r="K21" s="347">
        <f t="shared" si="7"/>
        <v>1.4155644162783844E-9</v>
      </c>
      <c r="L21" s="348">
        <f t="shared" si="8"/>
        <v>3.6985656151447276E-9</v>
      </c>
      <c r="M21" s="349">
        <f t="shared" si="9"/>
        <v>-1.0669196950591929E-9</v>
      </c>
      <c r="N21" s="349">
        <f t="shared" si="10"/>
        <v>2.7876318822997279E-9</v>
      </c>
      <c r="O21" s="350"/>
      <c r="P21" s="351">
        <f t="shared" si="11"/>
        <v>7.6499999999999994E-10</v>
      </c>
      <c r="Q21" s="351">
        <f t="shared" si="12"/>
        <v>1.0602875205865552E-9</v>
      </c>
      <c r="R21" s="351">
        <f t="shared" si="13"/>
        <v>1.4155644162783844E-9</v>
      </c>
      <c r="S21" s="351">
        <f t="shared" si="14"/>
        <v>3.6985656151447276E-9</v>
      </c>
      <c r="T21" s="351">
        <f t="shared" si="15"/>
        <v>2.2491175888306954E-9</v>
      </c>
      <c r="U21" s="352">
        <f t="shared" si="16"/>
        <v>-5.9705802739181166E-10</v>
      </c>
      <c r="V21" s="349">
        <f t="shared" ref="V21:W21" si="54">AL21</f>
        <v>2.0854038519372407E-9</v>
      </c>
      <c r="W21" s="349">
        <f t="shared" si="54"/>
        <v>-1.3583886819927664E-9</v>
      </c>
      <c r="X21" s="328"/>
      <c r="Y21" s="324">
        <v>1</v>
      </c>
      <c r="Z21" s="353">
        <f t="shared" si="18"/>
        <v>70.685834705770347</v>
      </c>
      <c r="AA21" s="347">
        <f t="shared" si="19"/>
        <v>-6.6619829707353162E-3</v>
      </c>
      <c r="AB21" s="347">
        <f t="shared" si="20"/>
        <v>4.8066367599923828E-3</v>
      </c>
      <c r="AC21" s="347">
        <f t="shared" si="21"/>
        <v>4935.8424534814976</v>
      </c>
      <c r="AD21" s="347">
        <f t="shared" si="22"/>
        <v>-7049.1073203917031</v>
      </c>
      <c r="AE21" s="354">
        <v>0</v>
      </c>
      <c r="AF21" s="317">
        <f t="shared" si="23"/>
        <v>-5134.0304223192043</v>
      </c>
      <c r="AG21" s="317">
        <f t="shared" si="24"/>
        <v>7935.8424534814976</v>
      </c>
      <c r="AH21" s="355">
        <f t="shared" si="25"/>
        <v>-12183.137742710907</v>
      </c>
      <c r="AI21" s="356">
        <f t="shared" si="26"/>
        <v>0.29586894137183778</v>
      </c>
      <c r="AJ21" s="356">
        <f t="shared" si="27"/>
        <v>-0.19272287280918524</v>
      </c>
      <c r="AK21" s="357">
        <f t="shared" si="28"/>
        <v>0.35310131148484475</v>
      </c>
      <c r="AL21" s="338">
        <f t="shared" ref="AL21:AM21" si="55">$E$6*AI21</f>
        <v>2.0854038519372407E-9</v>
      </c>
      <c r="AM21" s="338">
        <f t="shared" si="55"/>
        <v>-1.3583886819927664E-9</v>
      </c>
      <c r="AN21" s="338">
        <f t="shared" si="30"/>
        <v>2.9586894137183779E-20</v>
      </c>
      <c r="AO21" s="338">
        <f t="shared" si="31"/>
        <v>0</v>
      </c>
      <c r="AP21" s="358">
        <f t="shared" si="32"/>
        <v>9.9999999999999998E-20</v>
      </c>
    </row>
    <row r="22" spans="1:42" ht="15" customHeight="1">
      <c r="A22" s="359">
        <v>10000</v>
      </c>
      <c r="B22" s="359">
        <v>1</v>
      </c>
      <c r="C22" s="360">
        <f>B22*A$22</f>
        <v>10000</v>
      </c>
      <c r="D22" s="360">
        <f t="shared" si="2"/>
        <v>10000000</v>
      </c>
      <c r="E22" s="346">
        <f t="shared" si="3"/>
        <v>-181.90311302292633</v>
      </c>
      <c r="F22" s="346">
        <f t="shared" si="4"/>
        <v>-165.69846765261286</v>
      </c>
      <c r="G22" s="346">
        <f t="shared" si="5"/>
        <v>-389.50866670385403</v>
      </c>
      <c r="H22" s="325"/>
      <c r="I22" s="347">
        <f t="shared" si="6"/>
        <v>-7.5E-10</v>
      </c>
      <c r="J22" s="324">
        <v>0</v>
      </c>
      <c r="K22" s="347">
        <f t="shared" si="7"/>
        <v>6.2752441627838453E-8</v>
      </c>
      <c r="L22" s="348">
        <f t="shared" si="8"/>
        <v>3.6985656151447275E-8</v>
      </c>
      <c r="M22" s="349">
        <f t="shared" si="9"/>
        <v>-1.3980290074382598E-10</v>
      </c>
      <c r="N22" s="349">
        <f t="shared" si="10"/>
        <v>8.2398419595393328E-11</v>
      </c>
      <c r="O22" s="350"/>
      <c r="P22" s="351">
        <f t="shared" si="11"/>
        <v>7.6499999999999994E-10</v>
      </c>
      <c r="Q22" s="351">
        <f t="shared" si="12"/>
        <v>1.0602875205865553E-8</v>
      </c>
      <c r="R22" s="351">
        <f t="shared" si="13"/>
        <v>6.2752441627838453E-8</v>
      </c>
      <c r="S22" s="351">
        <f t="shared" si="14"/>
        <v>3.6985656151447275E-8</v>
      </c>
      <c r="T22" s="351">
        <f t="shared" si="15"/>
        <v>5.8472246167040411E-10</v>
      </c>
      <c r="U22" s="352">
        <f t="shared" si="16"/>
        <v>8.4629384156812261E-10</v>
      </c>
      <c r="V22" s="349">
        <f t="shared" ref="V22:W22" si="56">AL22</f>
        <v>4.7651263008482672E-10</v>
      </c>
      <c r="W22" s="349">
        <f t="shared" si="56"/>
        <v>-9.337606955774254E-10</v>
      </c>
      <c r="X22" s="328"/>
      <c r="Y22" s="324">
        <v>1</v>
      </c>
      <c r="Z22" s="353">
        <f t="shared" si="18"/>
        <v>706.85834705770355</v>
      </c>
      <c r="AA22" s="347">
        <f t="shared" si="19"/>
        <v>-0.66619829707353173</v>
      </c>
      <c r="AB22" s="347">
        <f t="shared" si="20"/>
        <v>4.8066367599923832E-2</v>
      </c>
      <c r="AC22" s="347">
        <f t="shared" si="21"/>
        <v>74.664053153790135</v>
      </c>
      <c r="AD22" s="347">
        <f t="shared" si="22"/>
        <v>-1055.6459245267174</v>
      </c>
      <c r="AE22" s="354">
        <v>0</v>
      </c>
      <c r="AF22" s="317">
        <f t="shared" si="23"/>
        <v>-513.40304223192038</v>
      </c>
      <c r="AG22" s="317">
        <f t="shared" si="24"/>
        <v>3074.6640531537901</v>
      </c>
      <c r="AH22" s="355">
        <f t="shared" si="25"/>
        <v>-1569.0489667586378</v>
      </c>
      <c r="AI22" s="356">
        <f t="shared" si="26"/>
        <v>6.760574805812275E-2</v>
      </c>
      <c r="AJ22" s="356">
        <f t="shared" si="27"/>
        <v>-0.1324783150460192</v>
      </c>
      <c r="AK22" s="357">
        <f t="shared" si="28"/>
        <v>0.14873143960821023</v>
      </c>
      <c r="AL22" s="338">
        <f t="shared" ref="AL22:AM22" si="57">$E$6*AI22</f>
        <v>4.7651263008482672E-10</v>
      </c>
      <c r="AM22" s="338">
        <f t="shared" si="57"/>
        <v>-9.337606955774254E-10</v>
      </c>
      <c r="AN22" s="338">
        <f t="shared" si="30"/>
        <v>6.7605748058122749E-21</v>
      </c>
      <c r="AO22" s="338">
        <f t="shared" si="31"/>
        <v>0</v>
      </c>
      <c r="AP22" s="358">
        <f t="shared" si="32"/>
        <v>9.9999999999999998E-20</v>
      </c>
    </row>
    <row r="23" spans="1:42" ht="15" customHeight="1">
      <c r="A23" s="314"/>
      <c r="B23" s="314"/>
      <c r="C23" s="314"/>
      <c r="D23" s="314"/>
      <c r="E23" s="314"/>
      <c r="F23" s="314"/>
      <c r="G23" s="314"/>
      <c r="H23" s="314"/>
      <c r="I23" s="317"/>
      <c r="J23" s="314"/>
      <c r="K23" s="314"/>
      <c r="L23" s="314"/>
      <c r="M23" s="333"/>
      <c r="N23" s="333"/>
      <c r="O23" s="314"/>
      <c r="P23" s="314"/>
      <c r="Q23" s="314"/>
      <c r="R23" s="314"/>
      <c r="S23" s="314"/>
      <c r="T23" s="314"/>
      <c r="U23" s="314"/>
      <c r="V23" s="333"/>
      <c r="W23" s="333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33"/>
      <c r="AJ23" s="333"/>
      <c r="AK23" s="314"/>
      <c r="AL23" s="333"/>
      <c r="AM23" s="333"/>
      <c r="AN23" s="333"/>
      <c r="AO23" s="333"/>
      <c r="AP23" s="314"/>
    </row>
    <row r="24" spans="1:42" ht="15" customHeight="1">
      <c r="A24" s="314"/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  <c r="V24" s="314"/>
      <c r="W24" s="314"/>
      <c r="X24" s="314"/>
      <c r="Y24" s="314"/>
      <c r="Z24" s="314"/>
      <c r="AA24" s="314"/>
      <c r="AB24" s="314"/>
      <c r="AC24" s="314"/>
      <c r="AD24" s="314"/>
      <c r="AE24" s="314"/>
      <c r="AF24" s="314"/>
      <c r="AG24" s="314"/>
      <c r="AH24" s="314"/>
      <c r="AI24" s="314"/>
      <c r="AJ24" s="314"/>
      <c r="AK24" s="314"/>
      <c r="AL24" s="314"/>
      <c r="AM24" s="314"/>
      <c r="AN24" s="314"/>
      <c r="AO24" s="314"/>
      <c r="AP24" s="314"/>
    </row>
    <row r="25" spans="1:42" ht="15" customHeight="1">
      <c r="A25" s="314"/>
      <c r="B25" s="314"/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  <c r="T25" s="314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314"/>
      <c r="AJ25" s="314"/>
      <c r="AK25" s="314"/>
      <c r="AL25" s="314"/>
      <c r="AM25" s="314"/>
      <c r="AN25" s="314"/>
      <c r="AO25" s="314"/>
      <c r="AP25" s="314"/>
    </row>
    <row r="26" spans="1:42" ht="15" customHeight="1">
      <c r="A26" s="311" t="str">
        <f>'Top Level'!H9</f>
        <v>max9632</v>
      </c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314"/>
      <c r="AJ26" s="314"/>
      <c r="AK26" s="314"/>
      <c r="AL26" s="314"/>
      <c r="AM26" s="314"/>
      <c r="AN26" s="314"/>
      <c r="AO26" s="314"/>
      <c r="AP26" s="314"/>
    </row>
    <row r="27" spans="1:42" ht="15" customHeight="1">
      <c r="A27" s="311" t="str">
        <f t="shared" ref="A27:E27" si="58">VLOOKUP($A26,$A29:$E32,A28,0)</f>
        <v>max9632</v>
      </c>
      <c r="B27" s="312">
        <f t="shared" si="58"/>
        <v>3.75</v>
      </c>
      <c r="C27" s="312">
        <f t="shared" si="58"/>
        <v>0.1</v>
      </c>
      <c r="D27" s="312">
        <f t="shared" si="58"/>
        <v>0.94</v>
      </c>
      <c r="E27" s="312">
        <f t="shared" si="58"/>
        <v>0.05</v>
      </c>
      <c r="F27" s="313" t="s">
        <v>597</v>
      </c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  <c r="AL27" s="314"/>
      <c r="AM27" s="314"/>
      <c r="AN27" s="314"/>
      <c r="AO27" s="314"/>
      <c r="AP27" s="314"/>
    </row>
    <row r="28" spans="1:42" ht="15" customHeight="1">
      <c r="A28" s="313">
        <v>1</v>
      </c>
      <c r="B28" s="313">
        <v>2</v>
      </c>
      <c r="C28" s="313">
        <v>3</v>
      </c>
      <c r="D28" s="313">
        <v>4</v>
      </c>
      <c r="E28" s="313">
        <v>5</v>
      </c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3">
        <v>999</v>
      </c>
      <c r="V28" s="313">
        <v>1.6211E-11</v>
      </c>
      <c r="W28" s="314"/>
      <c r="X28" s="314"/>
      <c r="Y28" s="314"/>
      <c r="Z28" s="314"/>
      <c r="AA28" s="314"/>
      <c r="AB28" s="314"/>
      <c r="AC28" s="314"/>
      <c r="AD28" s="314"/>
      <c r="AE28" s="314"/>
      <c r="AF28" s="314"/>
      <c r="AG28" s="314"/>
      <c r="AH28" s="314"/>
      <c r="AI28" s="314"/>
      <c r="AJ28" s="314"/>
      <c r="AK28" s="314"/>
      <c r="AL28" s="314"/>
      <c r="AM28" s="314"/>
      <c r="AN28" s="314"/>
      <c r="AO28" s="314"/>
      <c r="AP28" s="314"/>
    </row>
    <row r="29" spans="1:42" ht="15" customHeight="1">
      <c r="A29" s="311" t="str">
        <f>'Noise model input'!A32</f>
        <v>name</v>
      </c>
      <c r="B29" s="311" t="str">
        <f>'Noise model input'!B32</f>
        <v>in (pA)</v>
      </c>
      <c r="C29" s="311" t="str">
        <f>'Noise model input'!C32</f>
        <v>in 1/f (kHZ)</v>
      </c>
      <c r="D29" s="311" t="str">
        <f>'Noise model input'!D32</f>
        <v>nv (nv)</v>
      </c>
      <c r="E29" s="311" t="str">
        <f>'Noise model input'!E32</f>
        <v>nv 1/f (kHZ)</v>
      </c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3">
        <v>-5.2594939999999996E-9</v>
      </c>
      <c r="V29" s="313">
        <v>1.6194900000000001E-10</v>
      </c>
      <c r="W29" s="314"/>
      <c r="X29" s="314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  <c r="AL29" s="314"/>
      <c r="AM29" s="314"/>
      <c r="AN29" s="314"/>
      <c r="AO29" s="314"/>
      <c r="AP29" s="314"/>
    </row>
    <row r="30" spans="1:42" ht="15" customHeight="1">
      <c r="A30" s="311" t="str">
        <f>'Noise model input'!A33</f>
        <v>op184</v>
      </c>
      <c r="B30" s="311">
        <f>'Noise model input'!B33</f>
        <v>0.4</v>
      </c>
      <c r="C30" s="311">
        <f>'Noise model input'!C33</f>
        <v>0.05</v>
      </c>
      <c r="D30" s="311">
        <f>'Noise model input'!D33</f>
        <v>3.9</v>
      </c>
      <c r="E30" s="311">
        <f>'Noise model input'!E33</f>
        <v>3.5000000000000003E-2</v>
      </c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3">
        <v>-5.1846820000000001E-9</v>
      </c>
      <c r="V30" s="313">
        <v>6.3843900000000001E-10</v>
      </c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  <c r="AL30" s="314"/>
      <c r="AM30" s="314"/>
      <c r="AN30" s="314"/>
      <c r="AO30" s="314"/>
      <c r="AP30" s="314"/>
    </row>
    <row r="31" spans="1:42" ht="15" customHeight="1">
      <c r="A31" s="311" t="str">
        <f>'Noise model input'!A34</f>
        <v>max9632</v>
      </c>
      <c r="B31" s="311">
        <f>'Noise model input'!B34</f>
        <v>3.75</v>
      </c>
      <c r="C31" s="311">
        <f>'Noise model input'!C34</f>
        <v>0.1</v>
      </c>
      <c r="D31" s="311">
        <f>'Noise model input'!D34</f>
        <v>0.94</v>
      </c>
      <c r="E31" s="311">
        <f>'Noise model input'!E34</f>
        <v>0.05</v>
      </c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3">
        <v>-4.8026760000000002E-9</v>
      </c>
      <c r="V31" s="313">
        <v>1.4766410000000001E-9</v>
      </c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14"/>
      <c r="AJ31" s="314"/>
      <c r="AK31" s="314"/>
      <c r="AL31" s="314"/>
      <c r="AM31" s="314"/>
      <c r="AN31" s="314"/>
      <c r="AO31" s="314"/>
      <c r="AP31" s="314"/>
    </row>
    <row r="32" spans="1:42" ht="15" customHeight="1">
      <c r="A32" s="311" t="str">
        <f>'Noise model input'!A35</f>
        <v>op2</v>
      </c>
      <c r="B32" s="311">
        <f>'Noise model input'!B35</f>
        <v>3</v>
      </c>
      <c r="C32" s="311">
        <f>'Noise model input'!C35</f>
        <v>30</v>
      </c>
      <c r="D32" s="311">
        <f>'Noise model input'!D35</f>
        <v>3</v>
      </c>
      <c r="E32" s="311">
        <f>'Noise model input'!E35</f>
        <v>30</v>
      </c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3">
        <v>-3.8066300000000001E-9</v>
      </c>
      <c r="V32" s="313">
        <v>2.3303340000000002E-9</v>
      </c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4"/>
      <c r="AH32" s="314"/>
      <c r="AI32" s="314"/>
      <c r="AJ32" s="314"/>
      <c r="AK32" s="314"/>
      <c r="AL32" s="314"/>
      <c r="AM32" s="314"/>
      <c r="AN32" s="314"/>
      <c r="AO32" s="314"/>
      <c r="AP32" s="314"/>
    </row>
    <row r="33" spans="1:42" ht="15" customHeight="1">
      <c r="A33" s="314"/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3">
        <v>-2.101184E-9</v>
      </c>
      <c r="V33" s="313">
        <v>2.527441E-9</v>
      </c>
      <c r="W33" s="314"/>
      <c r="X33" s="314"/>
      <c r="Y33" s="314"/>
      <c r="Z33" s="314"/>
      <c r="AA33" s="314"/>
      <c r="AB33" s="314"/>
      <c r="AC33" s="314"/>
      <c r="AD33" s="314"/>
      <c r="AE33" s="314"/>
      <c r="AF33" s="314"/>
      <c r="AG33" s="314"/>
      <c r="AH33" s="314"/>
      <c r="AI33" s="314"/>
      <c r="AJ33" s="314"/>
      <c r="AK33" s="314"/>
      <c r="AL33" s="314"/>
      <c r="AM33" s="314"/>
      <c r="AN33" s="314"/>
      <c r="AO33" s="314"/>
      <c r="AP33" s="314"/>
    </row>
    <row r="34" spans="1:42" ht="15" customHeight="1">
      <c r="A34" s="314"/>
      <c r="B34" s="314"/>
      <c r="C34" s="314"/>
      <c r="D34" s="314"/>
      <c r="E34" s="314"/>
      <c r="F34" s="314"/>
      <c r="G34" s="314"/>
      <c r="H34" s="314"/>
      <c r="I34" s="313" t="s">
        <v>598</v>
      </c>
      <c r="J34" s="314"/>
      <c r="K34" s="313" t="s">
        <v>599</v>
      </c>
      <c r="L34" s="314"/>
      <c r="M34" s="313" t="s">
        <v>600</v>
      </c>
      <c r="N34" s="313" t="s">
        <v>587</v>
      </c>
      <c r="O34" s="314"/>
      <c r="P34" s="314"/>
      <c r="Q34" s="314"/>
      <c r="R34" s="314"/>
      <c r="S34" s="314"/>
      <c r="T34" s="314"/>
      <c r="U34" s="313">
        <v>-7.9365499999999999E-10</v>
      </c>
      <c r="V34" s="313">
        <v>1.7840650000000001E-9</v>
      </c>
      <c r="W34" s="314"/>
      <c r="X34" s="314"/>
      <c r="Y34" s="314"/>
      <c r="Z34" s="314"/>
      <c r="AA34" s="314"/>
      <c r="AB34" s="314"/>
      <c r="AC34" s="314"/>
      <c r="AD34" s="314"/>
      <c r="AE34" s="314"/>
      <c r="AF34" s="314"/>
      <c r="AG34" s="314"/>
      <c r="AH34" s="314"/>
      <c r="AI34" s="314"/>
      <c r="AJ34" s="314"/>
      <c r="AK34" s="314"/>
      <c r="AL34" s="314"/>
      <c r="AM34" s="314"/>
      <c r="AN34" s="314"/>
      <c r="AO34" s="314"/>
      <c r="AP34" s="314"/>
    </row>
    <row r="35" spans="1:42" ht="15" customHeight="1">
      <c r="A35" s="311" t="str">
        <f t="shared" ref="A35:A47" si="59">D10</f>
        <v>Hz</v>
      </c>
      <c r="B35" s="313" t="s">
        <v>601</v>
      </c>
      <c r="C35" s="313" t="s">
        <v>602</v>
      </c>
      <c r="D35" s="314"/>
      <c r="E35" s="311" t="str">
        <f>C29</f>
        <v>in 1/f (kHZ)</v>
      </c>
      <c r="F35" s="311" t="str">
        <f>B29</f>
        <v>in (pA)</v>
      </c>
      <c r="G35" s="311" t="str">
        <f>E29</f>
        <v>nv 1/f (kHZ)</v>
      </c>
      <c r="H35" s="311" t="str">
        <f>D29</f>
        <v>nv (nv)</v>
      </c>
      <c r="I35" s="313" t="s">
        <v>500</v>
      </c>
      <c r="J35" s="313" t="s">
        <v>501</v>
      </c>
      <c r="K35" s="313" t="s">
        <v>500</v>
      </c>
      <c r="L35" s="313" t="s">
        <v>501</v>
      </c>
      <c r="M35" s="313" t="s">
        <v>500</v>
      </c>
      <c r="N35" s="313" t="s">
        <v>501</v>
      </c>
      <c r="O35" s="313" t="s">
        <v>603</v>
      </c>
      <c r="P35" s="314"/>
      <c r="Q35" s="313" t="s">
        <v>604</v>
      </c>
      <c r="R35" s="314"/>
      <c r="S35" s="314"/>
      <c r="T35" s="314"/>
      <c r="U35" s="313">
        <v>-5.6027999999999995E-10</v>
      </c>
      <c r="V35" s="313">
        <v>1.5004959999999999E-9</v>
      </c>
      <c r="W35" s="314"/>
      <c r="X35" s="314"/>
      <c r="Y35" s="314"/>
      <c r="Z35" s="314"/>
      <c r="AA35" s="314"/>
      <c r="AB35" s="314"/>
      <c r="AC35" s="314"/>
      <c r="AD35" s="314"/>
      <c r="AE35" s="314"/>
      <c r="AF35" s="314"/>
      <c r="AG35" s="314"/>
      <c r="AH35" s="314"/>
      <c r="AI35" s="314"/>
      <c r="AJ35" s="314"/>
      <c r="AK35" s="314"/>
      <c r="AL35" s="314"/>
      <c r="AM35" s="314"/>
      <c r="AN35" s="314"/>
      <c r="AO35" s="314"/>
      <c r="AP35" s="314"/>
    </row>
    <row r="36" spans="1:42" ht="15" customHeight="1">
      <c r="A36" s="311">
        <f t="shared" si="59"/>
        <v>100</v>
      </c>
      <c r="B36" s="317">
        <f t="shared" ref="B36:B47" si="60">F36*0.000000000001*O36</f>
        <v>7.8019077250843939E-6</v>
      </c>
      <c r="C36" s="317">
        <f t="shared" ref="C36:C47" si="61">H36*0.000000001</f>
        <v>9.4000000000000006E-10</v>
      </c>
      <c r="D36" s="317"/>
      <c r="E36" s="311">
        <f t="shared" ref="E36:E47" si="62">C$27*1000</f>
        <v>100</v>
      </c>
      <c r="F36" s="311">
        <f t="shared" ref="F36:F47" si="63">IF(A36&lt;E36,B$27/(A36/E36),B$27)</f>
        <v>3.75</v>
      </c>
      <c r="G36" s="311">
        <f t="shared" ref="G36:G47" si="64">E$27*1000</f>
        <v>50</v>
      </c>
      <c r="H36" s="311">
        <f t="shared" ref="H36:H47" si="65">IF(A36&lt;G36,D$27/(A36/G36),D$27)</f>
        <v>0.94</v>
      </c>
      <c r="I36" s="313">
        <v>1</v>
      </c>
      <c r="J36" s="311">
        <f t="shared" ref="J36:J47" si="66">2*PI()*A36*B$3*B$5</f>
        <v>7.0685834705770355E-3</v>
      </c>
      <c r="K36" s="311">
        <f t="shared" ref="K36:K47" si="67">-1*(2*PI()*A36)^2*B$2*B$3*B$5</f>
        <v>-6.6619829707353171E-11</v>
      </c>
      <c r="L36" s="311">
        <f t="shared" ref="L36:L47" si="68">2*PI()*A36*(B$2+B$3)</f>
        <v>4.8066367599923837E-7</v>
      </c>
      <c r="M36" s="347">
        <f t="shared" ref="M36:M47" si="69">1*(I36*K36+J36*L36)/(K36^2+L36^2)</f>
        <v>14417.531441610874</v>
      </c>
      <c r="N36" s="347">
        <f t="shared" ref="N36:N47" si="70">1*(J36*K36-I36*L36)/(K36^2+L36^2)</f>
        <v>-2080458.7707082608</v>
      </c>
      <c r="O36" s="311">
        <f t="shared" ref="O36:O47" si="71">SQRT(M36^2+N36^2)</f>
        <v>2080508.7266891715</v>
      </c>
      <c r="P36" s="314"/>
      <c r="Q36" s="317">
        <f t="shared" ref="Q36:Q47" si="72">SQRT(B36^2+C36^2+D36^2)</f>
        <v>7.8019077817115686E-6</v>
      </c>
      <c r="R36" s="314"/>
      <c r="S36" s="314"/>
      <c r="T36" s="314"/>
      <c r="U36" s="313">
        <v>-2.07948E-10</v>
      </c>
      <c r="V36" s="313">
        <v>8.0085600000000003E-10</v>
      </c>
      <c r="W36" s="314"/>
      <c r="X36" s="314"/>
      <c r="Y36" s="314"/>
      <c r="Z36" s="314"/>
      <c r="AA36" s="314"/>
      <c r="AB36" s="314"/>
      <c r="AC36" s="314"/>
      <c r="AD36" s="314"/>
      <c r="AE36" s="314"/>
      <c r="AF36" s="314"/>
      <c r="AG36" s="314"/>
      <c r="AH36" s="314"/>
      <c r="AI36" s="314"/>
      <c r="AJ36" s="314"/>
      <c r="AK36" s="314"/>
      <c r="AL36" s="314"/>
      <c r="AM36" s="314"/>
      <c r="AN36" s="314"/>
      <c r="AO36" s="314"/>
      <c r="AP36" s="314"/>
    </row>
    <row r="37" spans="1:42" ht="15" customHeight="1">
      <c r="A37" s="311">
        <f t="shared" si="59"/>
        <v>1000</v>
      </c>
      <c r="B37" s="317">
        <f t="shared" si="60"/>
        <v>7.8211716784285147E-7</v>
      </c>
      <c r="C37" s="317">
        <f t="shared" si="61"/>
        <v>9.4000000000000006E-10</v>
      </c>
      <c r="D37" s="317"/>
      <c r="E37" s="311">
        <f t="shared" si="62"/>
        <v>100</v>
      </c>
      <c r="F37" s="311">
        <f t="shared" si="63"/>
        <v>3.75</v>
      </c>
      <c r="G37" s="311">
        <f t="shared" si="64"/>
        <v>50</v>
      </c>
      <c r="H37" s="311">
        <f t="shared" si="65"/>
        <v>0.94</v>
      </c>
      <c r="I37" s="313">
        <v>1</v>
      </c>
      <c r="J37" s="311">
        <f t="shared" si="66"/>
        <v>7.0685834705770348E-2</v>
      </c>
      <c r="K37" s="311">
        <f t="shared" si="67"/>
        <v>-6.661982970735316E-9</v>
      </c>
      <c r="L37" s="311">
        <f t="shared" si="68"/>
        <v>4.8066367599923829E-6</v>
      </c>
      <c r="M37" s="347">
        <f t="shared" si="69"/>
        <v>14417.504022731755</v>
      </c>
      <c r="N37" s="347">
        <f t="shared" si="70"/>
        <v>-208065.65985815509</v>
      </c>
      <c r="O37" s="311">
        <f t="shared" si="71"/>
        <v>208564.57809142707</v>
      </c>
      <c r="P37" s="314"/>
      <c r="Q37" s="317">
        <f t="shared" si="72"/>
        <v>7.8211773271964824E-7</v>
      </c>
      <c r="R37" s="314"/>
      <c r="S37" s="314"/>
      <c r="T37" s="314"/>
      <c r="U37" s="313">
        <v>-1.09533E-10</v>
      </c>
      <c r="V37" s="313">
        <v>3.9722200000000002E-10</v>
      </c>
      <c r="W37" s="314"/>
      <c r="X37" s="314"/>
      <c r="Y37" s="314"/>
      <c r="Z37" s="314"/>
      <c r="AA37" s="314"/>
      <c r="AB37" s="314"/>
      <c r="AC37" s="314"/>
      <c r="AD37" s="314"/>
      <c r="AE37" s="314"/>
      <c r="AF37" s="314"/>
      <c r="AG37" s="314"/>
      <c r="AH37" s="314"/>
      <c r="AI37" s="314"/>
      <c r="AJ37" s="314"/>
      <c r="AK37" s="314"/>
      <c r="AL37" s="314"/>
      <c r="AM37" s="314"/>
      <c r="AN37" s="314"/>
      <c r="AO37" s="314"/>
      <c r="AP37" s="314"/>
    </row>
    <row r="38" spans="1:42" ht="15" customHeight="1">
      <c r="A38" s="311">
        <f t="shared" si="59"/>
        <v>4000</v>
      </c>
      <c r="B38" s="317">
        <f t="shared" si="60"/>
        <v>2.0268605772574568E-7</v>
      </c>
      <c r="C38" s="317">
        <f t="shared" si="61"/>
        <v>9.4000000000000006E-10</v>
      </c>
      <c r="D38" s="317"/>
      <c r="E38" s="311">
        <f t="shared" si="62"/>
        <v>100</v>
      </c>
      <c r="F38" s="311">
        <f t="shared" si="63"/>
        <v>3.75</v>
      </c>
      <c r="G38" s="311">
        <f t="shared" si="64"/>
        <v>50</v>
      </c>
      <c r="H38" s="311">
        <f t="shared" si="65"/>
        <v>0.94</v>
      </c>
      <c r="I38" s="313">
        <v>1</v>
      </c>
      <c r="J38" s="311">
        <f t="shared" si="66"/>
        <v>0.28274333882308139</v>
      </c>
      <c r="K38" s="311">
        <f t="shared" si="67"/>
        <v>-1.0659172753176506E-7</v>
      </c>
      <c r="L38" s="311">
        <f t="shared" si="68"/>
        <v>1.9226547039969531E-5</v>
      </c>
      <c r="M38" s="347">
        <f t="shared" si="69"/>
        <v>14417.088597929751</v>
      </c>
      <c r="N38" s="347">
        <f t="shared" si="70"/>
        <v>-52091.347463357051</v>
      </c>
      <c r="O38" s="311">
        <f t="shared" si="71"/>
        <v>54049.615393532178</v>
      </c>
      <c r="P38" s="314"/>
      <c r="Q38" s="317">
        <f t="shared" si="72"/>
        <v>2.0268823743968052E-7</v>
      </c>
      <c r="R38" s="314"/>
      <c r="S38" s="314"/>
      <c r="T38" s="314"/>
      <c r="U38" s="313">
        <v>-6.9893999999999999E-11</v>
      </c>
      <c r="V38" s="313">
        <v>1.3470399999999999E-10</v>
      </c>
      <c r="W38" s="314"/>
      <c r="X38" s="314"/>
      <c r="Y38" s="314"/>
      <c r="Z38" s="314"/>
      <c r="AA38" s="314"/>
      <c r="AB38" s="314"/>
      <c r="AC38" s="314"/>
      <c r="AD38" s="314"/>
      <c r="AE38" s="314"/>
      <c r="AF38" s="314"/>
      <c r="AG38" s="314"/>
      <c r="AH38" s="314"/>
      <c r="AI38" s="314"/>
      <c r="AJ38" s="314"/>
      <c r="AK38" s="314"/>
      <c r="AL38" s="314"/>
      <c r="AM38" s="314"/>
      <c r="AN38" s="314"/>
      <c r="AO38" s="314"/>
      <c r="AP38" s="314"/>
    </row>
    <row r="39" spans="1:42" ht="15" customHeight="1">
      <c r="A39" s="311">
        <f t="shared" si="59"/>
        <v>10000</v>
      </c>
      <c r="B39" s="317">
        <f t="shared" si="60"/>
        <v>9.5530714400016436E-8</v>
      </c>
      <c r="C39" s="317">
        <f t="shared" si="61"/>
        <v>9.4000000000000006E-10</v>
      </c>
      <c r="D39" s="317"/>
      <c r="E39" s="311">
        <f t="shared" si="62"/>
        <v>100</v>
      </c>
      <c r="F39" s="311">
        <f t="shared" si="63"/>
        <v>3.75</v>
      </c>
      <c r="G39" s="311">
        <f t="shared" si="64"/>
        <v>50</v>
      </c>
      <c r="H39" s="311">
        <f t="shared" si="65"/>
        <v>0.94</v>
      </c>
      <c r="I39" s="313">
        <v>1</v>
      </c>
      <c r="J39" s="311">
        <f t="shared" si="66"/>
        <v>0.70685834705770345</v>
      </c>
      <c r="K39" s="311">
        <f t="shared" si="67"/>
        <v>-6.661982970735316E-7</v>
      </c>
      <c r="L39" s="311">
        <f t="shared" si="68"/>
        <v>4.8066367599923832E-5</v>
      </c>
      <c r="M39" s="347">
        <f t="shared" si="69"/>
        <v>14414.762661378969</v>
      </c>
      <c r="N39" s="347">
        <f t="shared" si="70"/>
        <v>-21004.355867725888</v>
      </c>
      <c r="O39" s="311">
        <f t="shared" si="71"/>
        <v>25474.857173337718</v>
      </c>
      <c r="P39" s="314"/>
      <c r="Q39" s="317">
        <f t="shared" si="72"/>
        <v>9.5535338978712514E-8</v>
      </c>
      <c r="R39" s="314"/>
      <c r="S39" s="314"/>
      <c r="T39" s="314"/>
      <c r="U39" s="313">
        <v>-3.37E-12</v>
      </c>
      <c r="V39" s="313">
        <v>6.9199999999999998E-13</v>
      </c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314"/>
      <c r="AK39" s="314"/>
      <c r="AL39" s="314"/>
      <c r="AM39" s="314"/>
      <c r="AN39" s="314"/>
      <c r="AO39" s="314"/>
      <c r="AP39" s="314"/>
    </row>
    <row r="40" spans="1:42" ht="15" customHeight="1">
      <c r="A40" s="311">
        <f t="shared" si="59"/>
        <v>20000</v>
      </c>
      <c r="B40" s="317">
        <f t="shared" si="60"/>
        <v>6.7523053909249961E-8</v>
      </c>
      <c r="C40" s="317">
        <f t="shared" si="61"/>
        <v>9.4000000000000006E-10</v>
      </c>
      <c r="D40" s="317"/>
      <c r="E40" s="311">
        <f t="shared" si="62"/>
        <v>100</v>
      </c>
      <c r="F40" s="311">
        <f t="shared" si="63"/>
        <v>3.75</v>
      </c>
      <c r="G40" s="311">
        <f t="shared" si="64"/>
        <v>50</v>
      </c>
      <c r="H40" s="311">
        <f t="shared" si="65"/>
        <v>0.94</v>
      </c>
      <c r="I40" s="313">
        <v>1</v>
      </c>
      <c r="J40" s="311">
        <f t="shared" si="66"/>
        <v>1.4137166941154069</v>
      </c>
      <c r="K40" s="311">
        <f t="shared" si="67"/>
        <v>-2.6647931882941264E-6</v>
      </c>
      <c r="L40" s="311">
        <f t="shared" si="68"/>
        <v>9.6132735199847664E-5</v>
      </c>
      <c r="M40" s="347">
        <f t="shared" si="69"/>
        <v>14406.461868092989</v>
      </c>
      <c r="N40" s="347">
        <f t="shared" si="70"/>
        <v>-10801.630051353817</v>
      </c>
      <c r="O40" s="311">
        <f t="shared" si="71"/>
        <v>18006.147709133322</v>
      </c>
      <c r="P40" s="314"/>
      <c r="Q40" s="317">
        <f t="shared" si="72"/>
        <v>6.7529596542786164E-8</v>
      </c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/>
      <c r="AD40" s="314"/>
      <c r="AE40" s="314"/>
      <c r="AF40" s="314"/>
      <c r="AG40" s="314"/>
      <c r="AH40" s="314"/>
      <c r="AI40" s="314"/>
      <c r="AJ40" s="314"/>
      <c r="AK40" s="314"/>
      <c r="AL40" s="314"/>
      <c r="AM40" s="314"/>
      <c r="AN40" s="314"/>
      <c r="AO40" s="314"/>
      <c r="AP40" s="314"/>
    </row>
    <row r="41" spans="1:42" ht="15" customHeight="1">
      <c r="A41" s="311">
        <f t="shared" si="59"/>
        <v>40000</v>
      </c>
      <c r="B41" s="317">
        <f t="shared" si="60"/>
        <v>5.8404886285862035E-8</v>
      </c>
      <c r="C41" s="317">
        <f t="shared" si="61"/>
        <v>9.4000000000000006E-10</v>
      </c>
      <c r="D41" s="317"/>
      <c r="E41" s="311">
        <f t="shared" si="62"/>
        <v>100</v>
      </c>
      <c r="F41" s="311">
        <f t="shared" si="63"/>
        <v>3.75</v>
      </c>
      <c r="G41" s="311">
        <f t="shared" si="64"/>
        <v>50</v>
      </c>
      <c r="H41" s="311">
        <f t="shared" si="65"/>
        <v>0.94</v>
      </c>
      <c r="I41" s="313">
        <v>1</v>
      </c>
      <c r="J41" s="311">
        <f t="shared" si="66"/>
        <v>2.8274333882308138</v>
      </c>
      <c r="K41" s="311">
        <f t="shared" si="67"/>
        <v>-1.0659172753176506E-5</v>
      </c>
      <c r="L41" s="311">
        <f t="shared" si="68"/>
        <v>1.9226547039969533E-4</v>
      </c>
      <c r="M41" s="347">
        <f t="shared" si="69"/>
        <v>14373.354076084324</v>
      </c>
      <c r="N41" s="347">
        <f t="shared" si="70"/>
        <v>-5997.998817687775</v>
      </c>
      <c r="O41" s="311">
        <f t="shared" si="71"/>
        <v>15574.636342896543</v>
      </c>
      <c r="P41" s="314"/>
      <c r="Q41" s="317">
        <f t="shared" si="72"/>
        <v>5.8412450231645609E-8</v>
      </c>
      <c r="R41" s="314"/>
      <c r="S41" s="314"/>
      <c r="T41" s="314"/>
      <c r="U41" s="314"/>
      <c r="V41" s="314"/>
      <c r="W41" s="314"/>
      <c r="X41" s="314"/>
      <c r="Y41" s="314"/>
      <c r="Z41" s="314"/>
      <c r="AA41" s="314"/>
      <c r="AB41" s="314"/>
      <c r="AC41" s="314"/>
      <c r="AD41" s="314"/>
      <c r="AE41" s="314"/>
      <c r="AF41" s="314"/>
      <c r="AG41" s="314"/>
      <c r="AH41" s="314"/>
      <c r="AI41" s="314"/>
      <c r="AJ41" s="314"/>
      <c r="AK41" s="314"/>
      <c r="AL41" s="314"/>
      <c r="AM41" s="314"/>
      <c r="AN41" s="314"/>
      <c r="AO41" s="314"/>
      <c r="AP41" s="314"/>
    </row>
    <row r="42" spans="1:42" ht="15" customHeight="1">
      <c r="A42" s="311">
        <f t="shared" si="59"/>
        <v>80000</v>
      </c>
      <c r="B42" s="317">
        <f t="shared" si="60"/>
        <v>5.5661584182814544E-8</v>
      </c>
      <c r="C42" s="317">
        <f t="shared" si="61"/>
        <v>9.4000000000000006E-10</v>
      </c>
      <c r="D42" s="317"/>
      <c r="E42" s="311">
        <f t="shared" si="62"/>
        <v>100</v>
      </c>
      <c r="F42" s="311">
        <f t="shared" si="63"/>
        <v>3.75</v>
      </c>
      <c r="G42" s="311">
        <f t="shared" si="64"/>
        <v>50</v>
      </c>
      <c r="H42" s="311">
        <f t="shared" si="65"/>
        <v>0.94</v>
      </c>
      <c r="I42" s="313">
        <v>1</v>
      </c>
      <c r="J42" s="311">
        <f t="shared" si="66"/>
        <v>5.6548667764616276</v>
      </c>
      <c r="K42" s="311">
        <f t="shared" si="67"/>
        <v>-4.2636691012706023E-5</v>
      </c>
      <c r="L42" s="311">
        <f t="shared" si="68"/>
        <v>3.8453094079939066E-4</v>
      </c>
      <c r="M42" s="347">
        <f t="shared" si="69"/>
        <v>14242.430761349049</v>
      </c>
      <c r="N42" s="347">
        <f t="shared" si="70"/>
        <v>-4179.7679955226267</v>
      </c>
      <c r="O42" s="311">
        <f t="shared" si="71"/>
        <v>14843.089115417211</v>
      </c>
      <c r="P42" s="314"/>
      <c r="Q42" s="317">
        <f t="shared" si="72"/>
        <v>5.5669520868609517E-8</v>
      </c>
      <c r="R42" s="314"/>
      <c r="S42" s="314"/>
      <c r="T42" s="314"/>
      <c r="U42" s="314"/>
      <c r="V42" s="314"/>
      <c r="W42" s="314"/>
      <c r="X42" s="314"/>
      <c r="Y42" s="314"/>
      <c r="Z42" s="314"/>
      <c r="AA42" s="314"/>
      <c r="AB42" s="314"/>
      <c r="AC42" s="314"/>
      <c r="AD42" s="314"/>
      <c r="AE42" s="314"/>
      <c r="AF42" s="314"/>
      <c r="AG42" s="314"/>
      <c r="AH42" s="314"/>
      <c r="AI42" s="314"/>
      <c r="AJ42" s="314"/>
      <c r="AK42" s="314"/>
      <c r="AL42" s="314"/>
      <c r="AM42" s="314"/>
      <c r="AN42" s="314"/>
      <c r="AO42" s="314"/>
      <c r="AP42" s="314"/>
    </row>
    <row r="43" spans="1:42" ht="15" customHeight="1">
      <c r="A43" s="311">
        <f t="shared" si="59"/>
        <v>100000</v>
      </c>
      <c r="B43" s="317">
        <f t="shared" si="60"/>
        <v>5.5168810974096242E-8</v>
      </c>
      <c r="C43" s="317">
        <f t="shared" si="61"/>
        <v>9.4000000000000006E-10</v>
      </c>
      <c r="D43" s="317"/>
      <c r="E43" s="311">
        <f t="shared" si="62"/>
        <v>100</v>
      </c>
      <c r="F43" s="311">
        <f t="shared" si="63"/>
        <v>3.75</v>
      </c>
      <c r="G43" s="311">
        <f t="shared" si="64"/>
        <v>50</v>
      </c>
      <c r="H43" s="311">
        <f t="shared" si="65"/>
        <v>0.94</v>
      </c>
      <c r="I43" s="313">
        <v>1</v>
      </c>
      <c r="J43" s="311">
        <f t="shared" si="66"/>
        <v>7.0685834705770336</v>
      </c>
      <c r="K43" s="311">
        <f t="shared" si="67"/>
        <v>-6.6619829707353163E-5</v>
      </c>
      <c r="L43" s="311">
        <f t="shared" si="68"/>
        <v>4.8066367599923829E-4</v>
      </c>
      <c r="M43" s="347">
        <f t="shared" si="69"/>
        <v>14145.792874177283</v>
      </c>
      <c r="N43" s="347">
        <f t="shared" si="70"/>
        <v>-4041.0590800629971</v>
      </c>
      <c r="O43" s="311">
        <f t="shared" si="71"/>
        <v>14711.682926425665</v>
      </c>
      <c r="P43" s="314"/>
      <c r="Q43" s="317">
        <f t="shared" si="72"/>
        <v>5.517681854090141E-8</v>
      </c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  <c r="AE43" s="314"/>
      <c r="AF43" s="314"/>
      <c r="AG43" s="314"/>
      <c r="AH43" s="314"/>
      <c r="AI43" s="314"/>
      <c r="AJ43" s="314"/>
      <c r="AK43" s="314"/>
      <c r="AL43" s="314"/>
      <c r="AM43" s="314"/>
      <c r="AN43" s="314"/>
      <c r="AO43" s="314"/>
      <c r="AP43" s="314"/>
    </row>
    <row r="44" spans="1:42" ht="15" customHeight="1">
      <c r="A44" s="311">
        <f t="shared" si="59"/>
        <v>200000</v>
      </c>
      <c r="B44" s="317">
        <f t="shared" si="60"/>
        <v>5.3275883489356913E-8</v>
      </c>
      <c r="C44" s="317">
        <f t="shared" si="61"/>
        <v>9.4000000000000006E-10</v>
      </c>
      <c r="D44" s="317"/>
      <c r="E44" s="311">
        <f t="shared" si="62"/>
        <v>100</v>
      </c>
      <c r="F44" s="311">
        <f t="shared" si="63"/>
        <v>3.75</v>
      </c>
      <c r="G44" s="311">
        <f t="shared" si="64"/>
        <v>50</v>
      </c>
      <c r="H44" s="311">
        <f t="shared" si="65"/>
        <v>0.94</v>
      </c>
      <c r="I44" s="313">
        <v>1</v>
      </c>
      <c r="J44" s="311">
        <f t="shared" si="66"/>
        <v>14.137166941154067</v>
      </c>
      <c r="K44" s="311">
        <f t="shared" si="67"/>
        <v>-2.6647931882941265E-4</v>
      </c>
      <c r="L44" s="311">
        <f t="shared" si="68"/>
        <v>9.6132735199847658E-4</v>
      </c>
      <c r="M44" s="347">
        <f t="shared" si="69"/>
        <v>13388.747327612113</v>
      </c>
      <c r="N44" s="347">
        <f t="shared" si="70"/>
        <v>-4751.580466680025</v>
      </c>
      <c r="O44" s="311">
        <f t="shared" si="71"/>
        <v>14206.90226382851</v>
      </c>
      <c r="P44" s="314"/>
      <c r="Q44" s="317">
        <f t="shared" si="72"/>
        <v>5.3284175526806572E-8</v>
      </c>
      <c r="R44" s="314"/>
      <c r="S44" s="314"/>
      <c r="T44" s="314"/>
      <c r="U44" s="314"/>
      <c r="V44" s="314"/>
      <c r="W44" s="314"/>
      <c r="X44" s="314"/>
      <c r="Y44" s="314"/>
      <c r="Z44" s="314"/>
      <c r="AA44" s="314"/>
      <c r="AB44" s="314"/>
      <c r="AC44" s="314"/>
      <c r="AD44" s="314"/>
      <c r="AE44" s="314"/>
      <c r="AF44" s="314"/>
      <c r="AG44" s="314"/>
      <c r="AH44" s="314"/>
      <c r="AI44" s="314"/>
      <c r="AJ44" s="314"/>
      <c r="AK44" s="314"/>
      <c r="AL44" s="314"/>
      <c r="AM44" s="314"/>
      <c r="AN44" s="314"/>
      <c r="AO44" s="314"/>
      <c r="AP44" s="314"/>
    </row>
    <row r="45" spans="1:42" ht="15" customHeight="1">
      <c r="A45" s="311">
        <f t="shared" si="59"/>
        <v>400000</v>
      </c>
      <c r="B45" s="317">
        <f t="shared" si="60"/>
        <v>4.82610269041974E-8</v>
      </c>
      <c r="C45" s="317">
        <f t="shared" si="61"/>
        <v>9.4000000000000006E-10</v>
      </c>
      <c r="D45" s="317"/>
      <c r="E45" s="311">
        <f t="shared" si="62"/>
        <v>100</v>
      </c>
      <c r="F45" s="311">
        <f t="shared" si="63"/>
        <v>3.75</v>
      </c>
      <c r="G45" s="311">
        <f t="shared" si="64"/>
        <v>50</v>
      </c>
      <c r="H45" s="311">
        <f t="shared" si="65"/>
        <v>0.94</v>
      </c>
      <c r="I45" s="313">
        <v>1</v>
      </c>
      <c r="J45" s="311">
        <f t="shared" si="66"/>
        <v>28.274333882308134</v>
      </c>
      <c r="K45" s="311">
        <f t="shared" si="67"/>
        <v>-1.0659172753176506E-3</v>
      </c>
      <c r="L45" s="311">
        <f t="shared" si="68"/>
        <v>1.9226547039969532E-3</v>
      </c>
      <c r="M45" s="347">
        <f t="shared" si="69"/>
        <v>11027.991241083451</v>
      </c>
      <c r="N45" s="347">
        <f t="shared" si="70"/>
        <v>-6634.0182402002438</v>
      </c>
      <c r="O45" s="311">
        <f t="shared" si="71"/>
        <v>12869.60717445264</v>
      </c>
      <c r="P45" s="314"/>
      <c r="Q45" s="317">
        <f t="shared" si="72"/>
        <v>4.8270180420707619E-8</v>
      </c>
      <c r="R45" s="314"/>
      <c r="S45" s="314"/>
      <c r="T45" s="314"/>
      <c r="U45" s="314"/>
      <c r="V45" s="314"/>
      <c r="W45" s="314"/>
      <c r="X45" s="314"/>
      <c r="Y45" s="314"/>
      <c r="Z45" s="314"/>
      <c r="AA45" s="314"/>
      <c r="AB45" s="314"/>
      <c r="AC45" s="314"/>
      <c r="AD45" s="314"/>
      <c r="AE45" s="314"/>
      <c r="AF45" s="314"/>
      <c r="AG45" s="314"/>
      <c r="AH45" s="314"/>
      <c r="AI45" s="314"/>
      <c r="AJ45" s="314"/>
      <c r="AK45" s="314"/>
      <c r="AL45" s="314"/>
      <c r="AM45" s="314"/>
      <c r="AN45" s="314"/>
      <c r="AO45" s="314"/>
      <c r="AP45" s="314"/>
    </row>
    <row r="46" spans="1:42" ht="15" customHeight="1">
      <c r="A46" s="311">
        <f t="shared" si="59"/>
        <v>1000000</v>
      </c>
      <c r="B46" s="317">
        <f t="shared" si="60"/>
        <v>3.2270150987888351E-8</v>
      </c>
      <c r="C46" s="317">
        <f t="shared" si="61"/>
        <v>9.4000000000000006E-10</v>
      </c>
      <c r="D46" s="317"/>
      <c r="E46" s="311">
        <f t="shared" si="62"/>
        <v>100</v>
      </c>
      <c r="F46" s="311">
        <f t="shared" si="63"/>
        <v>3.75</v>
      </c>
      <c r="G46" s="311">
        <f t="shared" si="64"/>
        <v>50</v>
      </c>
      <c r="H46" s="311">
        <f t="shared" si="65"/>
        <v>0.94</v>
      </c>
      <c r="I46" s="313">
        <v>1</v>
      </c>
      <c r="J46" s="311">
        <f t="shared" si="66"/>
        <v>70.685834705770347</v>
      </c>
      <c r="K46" s="311">
        <f t="shared" si="67"/>
        <v>-6.6619829707353162E-3</v>
      </c>
      <c r="L46" s="311">
        <f t="shared" si="68"/>
        <v>4.8066367599923828E-3</v>
      </c>
      <c r="M46" s="347">
        <f t="shared" si="69"/>
        <v>4935.8424534814976</v>
      </c>
      <c r="N46" s="347">
        <f t="shared" si="70"/>
        <v>-7049.1073203917031</v>
      </c>
      <c r="O46" s="311">
        <f t="shared" si="71"/>
        <v>8605.3735967702269</v>
      </c>
      <c r="P46" s="314"/>
      <c r="Q46" s="317">
        <f t="shared" si="72"/>
        <v>3.2283838755344934E-8</v>
      </c>
      <c r="R46" s="314"/>
      <c r="S46" s="314"/>
      <c r="T46" s="314"/>
      <c r="U46" s="314"/>
      <c r="V46" s="314"/>
      <c r="W46" s="314"/>
      <c r="X46" s="314"/>
      <c r="Y46" s="314"/>
      <c r="Z46" s="314"/>
      <c r="AA46" s="314"/>
      <c r="AB46" s="314"/>
      <c r="AC46" s="314"/>
      <c r="AD46" s="314"/>
      <c r="AE46" s="314"/>
      <c r="AF46" s="314"/>
      <c r="AG46" s="314"/>
      <c r="AH46" s="314"/>
      <c r="AI46" s="314"/>
      <c r="AJ46" s="314"/>
      <c r="AK46" s="314"/>
      <c r="AL46" s="314"/>
      <c r="AM46" s="314"/>
      <c r="AN46" s="314"/>
      <c r="AO46" s="314"/>
      <c r="AP46" s="314"/>
    </row>
    <row r="47" spans="1:42" ht="15" customHeight="1">
      <c r="A47" s="311">
        <f t="shared" si="59"/>
        <v>10000000</v>
      </c>
      <c r="B47" s="317">
        <f t="shared" si="60"/>
        <v>3.9685614815913187E-9</v>
      </c>
      <c r="C47" s="317">
        <f t="shared" si="61"/>
        <v>9.4000000000000006E-10</v>
      </c>
      <c r="D47" s="317"/>
      <c r="E47" s="311">
        <f t="shared" si="62"/>
        <v>100</v>
      </c>
      <c r="F47" s="311">
        <f t="shared" si="63"/>
        <v>3.75</v>
      </c>
      <c r="G47" s="311">
        <f t="shared" si="64"/>
        <v>50</v>
      </c>
      <c r="H47" s="311">
        <f t="shared" si="65"/>
        <v>0.94</v>
      </c>
      <c r="I47" s="313">
        <v>1</v>
      </c>
      <c r="J47" s="311">
        <f t="shared" si="66"/>
        <v>706.85834705770355</v>
      </c>
      <c r="K47" s="311">
        <f t="shared" si="67"/>
        <v>-0.66619829707353173</v>
      </c>
      <c r="L47" s="311">
        <f t="shared" si="68"/>
        <v>4.8066367599923832E-2</v>
      </c>
      <c r="M47" s="347">
        <f t="shared" si="69"/>
        <v>74.664053153790135</v>
      </c>
      <c r="N47" s="347">
        <f t="shared" si="70"/>
        <v>-1055.6459245267174</v>
      </c>
      <c r="O47" s="311">
        <f t="shared" si="71"/>
        <v>1058.2830617576849</v>
      </c>
      <c r="P47" s="314"/>
      <c r="Q47" s="317">
        <f t="shared" si="72"/>
        <v>4.0783673489731502E-9</v>
      </c>
      <c r="R47" s="314"/>
      <c r="S47" s="314"/>
      <c r="T47" s="314"/>
      <c r="U47" s="314"/>
      <c r="V47" s="314"/>
      <c r="W47" s="314"/>
      <c r="X47" s="314"/>
      <c r="Y47" s="314"/>
      <c r="Z47" s="314"/>
      <c r="AA47" s="314"/>
      <c r="AB47" s="314"/>
      <c r="AC47" s="314"/>
      <c r="AD47" s="314"/>
      <c r="AE47" s="314"/>
      <c r="AF47" s="314"/>
      <c r="AG47" s="314"/>
      <c r="AH47" s="314"/>
      <c r="AI47" s="314"/>
      <c r="AJ47" s="314"/>
      <c r="AK47" s="314"/>
      <c r="AL47" s="314"/>
      <c r="AM47" s="314"/>
      <c r="AN47" s="314"/>
      <c r="AO47" s="314"/>
      <c r="AP47" s="314"/>
    </row>
    <row r="48" spans="1:42" ht="15" customHeight="1">
      <c r="A48" s="314"/>
      <c r="B48" s="314"/>
      <c r="C48" s="314"/>
      <c r="D48" s="314"/>
      <c r="E48" s="314"/>
      <c r="F48" s="314"/>
      <c r="G48" s="314"/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H48" s="314"/>
      <c r="AI48" s="314"/>
      <c r="AJ48" s="314"/>
      <c r="AK48" s="314"/>
      <c r="AL48" s="314"/>
      <c r="AM48" s="314"/>
      <c r="AN48" s="314"/>
      <c r="AO48" s="314"/>
      <c r="AP48" s="314"/>
    </row>
    <row r="49" spans="1:42" ht="15" customHeight="1">
      <c r="A49" s="314"/>
      <c r="B49" s="31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H49" s="314"/>
      <c r="AI49" s="314"/>
      <c r="AJ49" s="314"/>
      <c r="AK49" s="314"/>
      <c r="AL49" s="314"/>
      <c r="AM49" s="314"/>
      <c r="AN49" s="314"/>
      <c r="AO49" s="314"/>
      <c r="AP49" s="314"/>
    </row>
    <row r="50" spans="1:42" ht="15" customHeight="1">
      <c r="A50" s="314"/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H50" s="314"/>
      <c r="AI50" s="314"/>
      <c r="AJ50" s="314"/>
      <c r="AK50" s="314"/>
      <c r="AL50" s="314"/>
      <c r="AM50" s="314"/>
      <c r="AN50" s="314"/>
      <c r="AO50" s="314"/>
      <c r="AP50" s="314"/>
    </row>
    <row r="51" spans="1:42" ht="15" customHeight="1">
      <c r="A51" s="314"/>
      <c r="B51" s="314"/>
      <c r="C51" s="314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H51" s="314"/>
      <c r="AI51" s="314"/>
      <c r="AJ51" s="314"/>
      <c r="AK51" s="314"/>
      <c r="AL51" s="314"/>
      <c r="AM51" s="314"/>
      <c r="AN51" s="314"/>
      <c r="AO51" s="314"/>
      <c r="AP51" s="314"/>
    </row>
    <row r="52" spans="1:42" ht="15" customHeight="1">
      <c r="A52" s="311" t="str">
        <f t="shared" ref="A52:A64" si="73">A35</f>
        <v>Hz</v>
      </c>
      <c r="B52" s="313" t="s">
        <v>379</v>
      </c>
      <c r="C52" s="313" t="s">
        <v>380</v>
      </c>
      <c r="D52" s="10" t="s">
        <v>605</v>
      </c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H52" s="314"/>
      <c r="AI52" s="314"/>
      <c r="AJ52" s="314"/>
      <c r="AK52" s="314"/>
      <c r="AL52" s="314"/>
      <c r="AM52" s="314"/>
      <c r="AN52" s="314"/>
      <c r="AO52" s="314"/>
      <c r="AP52" s="314"/>
    </row>
    <row r="53" spans="1:42" ht="15" customHeight="1">
      <c r="A53" s="311">
        <f t="shared" si="73"/>
        <v>100</v>
      </c>
      <c r="B53" s="311">
        <f t="shared" ref="B53:B64" si="74">1000000000*SQRT(M11^2+N12^2)</f>
        <v>14.850072778199097</v>
      </c>
      <c r="C53" s="311">
        <f t="shared" ref="C53:C64" si="75">1000000000*SQRT(AL11^2+AM11^2)</f>
        <v>6.7739053126101059</v>
      </c>
      <c r="D53" s="311">
        <f t="shared" ref="D53:D64" si="76">1000000000*SQRT(AO11^2+AN11^2)</f>
        <v>9.6105513826771823E-11</v>
      </c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</row>
    <row r="54" spans="1:42" ht="15" customHeight="1">
      <c r="A54" s="311">
        <f t="shared" si="73"/>
        <v>1000</v>
      </c>
      <c r="B54" s="311">
        <f t="shared" si="74"/>
        <v>14.852146399647816</v>
      </c>
      <c r="C54" s="311">
        <f t="shared" si="75"/>
        <v>6.7738445834646948</v>
      </c>
      <c r="D54" s="311">
        <f t="shared" si="76"/>
        <v>9.6104146523610664E-11</v>
      </c>
      <c r="E54" s="314"/>
      <c r="F54" s="314"/>
      <c r="G54" s="314"/>
      <c r="H54" s="314"/>
      <c r="I54" s="314"/>
      <c r="J54" s="314"/>
      <c r="K54" s="314"/>
      <c r="L54" s="314"/>
      <c r="M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H54" s="314"/>
      <c r="AI54" s="314"/>
      <c r="AJ54" s="314"/>
      <c r="AK54" s="314"/>
      <c r="AL54" s="314"/>
      <c r="AM54" s="314"/>
      <c r="AN54" s="314"/>
      <c r="AO54" s="314"/>
      <c r="AP54" s="314"/>
    </row>
    <row r="55" spans="1:42" ht="15" customHeight="1">
      <c r="A55" s="311">
        <f t="shared" si="73"/>
        <v>4000</v>
      </c>
      <c r="B55" s="311">
        <f t="shared" si="74"/>
        <v>14.860556451645026</v>
      </c>
      <c r="C55" s="311">
        <f t="shared" si="75"/>
        <v>6.7729246724662246</v>
      </c>
      <c r="D55" s="311">
        <f t="shared" si="76"/>
        <v>9.6083436429003032E-11</v>
      </c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H55" s="314"/>
      <c r="AI55" s="314"/>
      <c r="AJ55" s="314"/>
      <c r="AK55" s="314"/>
      <c r="AL55" s="314"/>
      <c r="AM55" s="314"/>
      <c r="AN55" s="314"/>
      <c r="AO55" s="314"/>
      <c r="AP55" s="314"/>
    </row>
    <row r="56" spans="1:42" ht="15" customHeight="1">
      <c r="A56" s="311">
        <f t="shared" si="73"/>
        <v>10000</v>
      </c>
      <c r="B56" s="311">
        <f t="shared" si="74"/>
        <v>14.87973267029696</v>
      </c>
      <c r="C56" s="311">
        <f t="shared" si="75"/>
        <v>6.7677810478187359</v>
      </c>
      <c r="D56" s="311">
        <f t="shared" si="76"/>
        <v>9.5967688965959588E-11</v>
      </c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H56" s="314"/>
      <c r="AI56" s="314"/>
      <c r="AJ56" s="314"/>
      <c r="AK56" s="314"/>
      <c r="AL56" s="314"/>
      <c r="AM56" s="314"/>
      <c r="AN56" s="314"/>
      <c r="AO56" s="314"/>
      <c r="AP56" s="314"/>
    </row>
    <row r="57" spans="1:42" ht="15" customHeight="1">
      <c r="A57" s="311">
        <f t="shared" si="73"/>
        <v>20000</v>
      </c>
      <c r="B57" s="311">
        <f t="shared" si="74"/>
        <v>14.956955808785239</v>
      </c>
      <c r="C57" s="311">
        <f t="shared" si="75"/>
        <v>6.7495193513312186</v>
      </c>
      <c r="D57" s="311">
        <f t="shared" si="76"/>
        <v>9.5557453264248651E-11</v>
      </c>
      <c r="E57" s="314"/>
      <c r="F57" s="314"/>
      <c r="G57" s="314"/>
      <c r="H57" s="314"/>
      <c r="I57" s="314"/>
      <c r="J57" s="314"/>
      <c r="K57" s="314"/>
      <c r="L57" s="314"/>
      <c r="M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H57" s="314"/>
      <c r="AI57" s="314"/>
      <c r="AJ57" s="314"/>
      <c r="AK57" s="314"/>
      <c r="AL57" s="314"/>
      <c r="AM57" s="314"/>
      <c r="AN57" s="314"/>
      <c r="AO57" s="314"/>
      <c r="AP57" s="314"/>
    </row>
    <row r="58" spans="1:42" ht="15" customHeight="1">
      <c r="A58" s="311">
        <f t="shared" si="73"/>
        <v>40000</v>
      </c>
      <c r="B58" s="311">
        <f t="shared" si="74"/>
        <v>15.122002911368954</v>
      </c>
      <c r="C58" s="311">
        <f t="shared" si="75"/>
        <v>6.6781223599427788</v>
      </c>
      <c r="D58" s="311">
        <f t="shared" si="76"/>
        <v>9.3964189277097052E-11</v>
      </c>
      <c r="E58" s="314"/>
      <c r="F58" s="314"/>
      <c r="G58" s="314"/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H58" s="314"/>
      <c r="AI58" s="314"/>
      <c r="AJ58" s="314"/>
      <c r="AK58" s="314"/>
      <c r="AL58" s="314"/>
      <c r="AM58" s="314"/>
      <c r="AN58" s="314"/>
      <c r="AO58" s="314"/>
      <c r="AP58" s="314"/>
    </row>
    <row r="59" spans="1:42" ht="15" customHeight="1">
      <c r="A59" s="311">
        <f t="shared" si="73"/>
        <v>80000</v>
      </c>
      <c r="B59" s="311">
        <f t="shared" si="74"/>
        <v>14.154201200129375</v>
      </c>
      <c r="C59" s="311">
        <f t="shared" si="75"/>
        <v>6.4164224099039098</v>
      </c>
      <c r="D59" s="311">
        <f t="shared" si="76"/>
        <v>8.8268772190834443E-11</v>
      </c>
      <c r="E59" s="314"/>
      <c r="F59" s="314"/>
      <c r="G59" s="314"/>
      <c r="H59" s="314"/>
      <c r="I59" s="314"/>
      <c r="J59" s="314"/>
      <c r="K59" s="314"/>
      <c r="L59" s="314"/>
      <c r="M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H59" s="314"/>
      <c r="AI59" s="314"/>
      <c r="AJ59" s="314"/>
      <c r="AK59" s="314"/>
      <c r="AL59" s="314"/>
      <c r="AM59" s="314"/>
      <c r="AN59" s="314"/>
      <c r="AO59" s="314"/>
      <c r="AP59" s="314"/>
    </row>
    <row r="60" spans="1:42" ht="15" customHeight="1">
      <c r="A60" s="311">
        <f t="shared" si="73"/>
        <v>100000</v>
      </c>
      <c r="B60" s="311">
        <f t="shared" si="74"/>
        <v>14.105546047029202</v>
      </c>
      <c r="C60" s="311">
        <f t="shared" si="75"/>
        <v>6.2418053213425644</v>
      </c>
      <c r="D60" s="311">
        <f t="shared" si="76"/>
        <v>8.4594875516079618E-11</v>
      </c>
      <c r="E60" s="314"/>
      <c r="F60" s="314"/>
      <c r="G60" s="314"/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H60" s="314"/>
      <c r="AI60" s="314"/>
      <c r="AJ60" s="314"/>
      <c r="AK60" s="314"/>
      <c r="AL60" s="314"/>
      <c r="AM60" s="314"/>
      <c r="AN60" s="314"/>
      <c r="AO60" s="314"/>
      <c r="AP60" s="314"/>
    </row>
    <row r="61" spans="1:42" ht="15" customHeight="1">
      <c r="A61" s="311">
        <f t="shared" si="73"/>
        <v>200000</v>
      </c>
      <c r="B61" s="311">
        <f t="shared" si="74"/>
        <v>9.8672134348312301</v>
      </c>
      <c r="C61" s="311">
        <f t="shared" si="75"/>
        <v>5.2360504631870892</v>
      </c>
      <c r="D61" s="311">
        <f t="shared" si="76"/>
        <v>6.540057429941605E-11</v>
      </c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H61" s="314"/>
      <c r="AI61" s="314"/>
      <c r="AJ61" s="314"/>
      <c r="AK61" s="314"/>
      <c r="AL61" s="314"/>
      <c r="AM61" s="314"/>
      <c r="AN61" s="314"/>
      <c r="AO61" s="314"/>
      <c r="AP61" s="314"/>
    </row>
    <row r="62" spans="1:42" ht="15" customHeight="1">
      <c r="A62" s="311">
        <f t="shared" si="73"/>
        <v>400000</v>
      </c>
      <c r="B62" s="311">
        <f t="shared" si="74"/>
        <v>4.5048979470975485</v>
      </c>
      <c r="C62" s="311">
        <f t="shared" si="75"/>
        <v>3.7700059179240868</v>
      </c>
      <c r="D62" s="311">
        <f t="shared" si="76"/>
        <v>4.3396007820720463E-11</v>
      </c>
      <c r="E62" s="314"/>
      <c r="F62" s="314"/>
      <c r="G62" s="314"/>
      <c r="H62" s="314"/>
      <c r="I62" s="314"/>
      <c r="J62" s="314"/>
      <c r="K62" s="314"/>
      <c r="L62" s="314"/>
      <c r="M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H62" s="314"/>
      <c r="AI62" s="314"/>
      <c r="AJ62" s="314"/>
      <c r="AK62" s="314"/>
      <c r="AL62" s="314"/>
      <c r="AM62" s="314"/>
      <c r="AN62" s="314"/>
      <c r="AO62" s="314"/>
      <c r="AP62" s="314"/>
    </row>
    <row r="63" spans="1:42" ht="15" customHeight="1">
      <c r="A63" s="311">
        <f t="shared" si="73"/>
        <v>1000000</v>
      </c>
      <c r="B63" s="311">
        <f t="shared" si="74"/>
        <v>1.0700967877986645</v>
      </c>
      <c r="C63" s="311">
        <f t="shared" si="75"/>
        <v>2.4888007226454927</v>
      </c>
      <c r="D63" s="311">
        <f t="shared" si="76"/>
        <v>2.9586894137183777E-11</v>
      </c>
      <c r="E63" s="314"/>
      <c r="F63" s="314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314"/>
      <c r="AI63" s="314"/>
      <c r="AJ63" s="314"/>
      <c r="AK63" s="314"/>
      <c r="AL63" s="314"/>
      <c r="AM63" s="314"/>
      <c r="AN63" s="314"/>
      <c r="AO63" s="314"/>
      <c r="AP63" s="314"/>
    </row>
    <row r="64" spans="1:42" ht="15" customHeight="1">
      <c r="A64" s="311">
        <f t="shared" si="73"/>
        <v>10000000</v>
      </c>
      <c r="B64" s="311">
        <f t="shared" si="74"/>
        <v>0.13980290074382598</v>
      </c>
      <c r="C64" s="311">
        <f t="shared" si="75"/>
        <v>1.0483192849678937</v>
      </c>
      <c r="D64" s="311">
        <f t="shared" si="76"/>
        <v>6.7605748058122751E-12</v>
      </c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14"/>
      <c r="AJ64" s="314"/>
      <c r="AK64" s="314"/>
      <c r="AL64" s="314"/>
      <c r="AM64" s="314"/>
      <c r="AN64" s="314"/>
      <c r="AO64" s="314"/>
      <c r="AP64" s="314"/>
    </row>
    <row r="65" spans="1:42" ht="15" customHeight="1">
      <c r="A65" s="314"/>
      <c r="B65" s="314"/>
      <c r="C65" s="314"/>
      <c r="D65" s="314"/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14"/>
      <c r="AJ65" s="314"/>
      <c r="AK65" s="314"/>
      <c r="AL65" s="314"/>
      <c r="AM65" s="314"/>
      <c r="AN65" s="314"/>
      <c r="AO65" s="314"/>
      <c r="AP65" s="314"/>
    </row>
    <row r="66" spans="1:42" ht="15" customHeight="1">
      <c r="A66" s="314"/>
      <c r="B66" s="314"/>
      <c r="C66" s="314"/>
      <c r="D66" s="314"/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14"/>
      <c r="AJ66" s="314"/>
      <c r="AK66" s="314"/>
      <c r="AL66" s="314"/>
      <c r="AM66" s="314"/>
      <c r="AN66" s="314"/>
      <c r="AO66" s="314"/>
      <c r="AP66" s="314"/>
    </row>
    <row r="67" spans="1:42" ht="15" customHeight="1">
      <c r="A67" s="314"/>
      <c r="B67" s="314"/>
      <c r="C67" s="314"/>
      <c r="D67" s="314"/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4"/>
      <c r="AN67" s="314"/>
      <c r="AO67" s="314"/>
      <c r="AP67" s="314"/>
    </row>
    <row r="68" spans="1:42" ht="15" customHeight="1">
      <c r="A68" s="314"/>
      <c r="B68" s="314"/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</row>
    <row r="69" spans="1:42" ht="15" customHeight="1">
      <c r="A69" s="314"/>
      <c r="B69" s="314"/>
      <c r="C69" s="314"/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</row>
    <row r="70" spans="1:42" ht="15" customHeight="1">
      <c r="A70" s="314"/>
      <c r="B70" s="314"/>
      <c r="C70" s="314"/>
      <c r="D70" s="314"/>
      <c r="E70" s="314"/>
      <c r="F70" s="314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</row>
    <row r="71" spans="1:42" ht="15" customHeight="1">
      <c r="A71" s="314"/>
      <c r="B71" s="314"/>
      <c r="C71" s="314"/>
      <c r="D71" s="314"/>
      <c r="E71" s="314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</row>
    <row r="72" spans="1:42" ht="15" customHeight="1">
      <c r="A72" s="314"/>
      <c r="B72" s="314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314"/>
      <c r="AA72" s="314"/>
      <c r="AB72" s="314"/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</row>
    <row r="73" spans="1:42" ht="15" customHeight="1">
      <c r="A73" s="314"/>
      <c r="B73" s="314"/>
      <c r="C73" s="314"/>
      <c r="D73" s="314"/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</row>
    <row r="74" spans="1:42" ht="15" customHeight="1">
      <c r="A74" s="314"/>
      <c r="B74" s="314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</row>
    <row r="75" spans="1:42" ht="15" customHeight="1">
      <c r="A75" s="314"/>
      <c r="B75" s="314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</row>
    <row r="76" spans="1:42" ht="15" customHeight="1">
      <c r="A76" s="314"/>
      <c r="B76" s="314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</row>
    <row r="77" spans="1:42" ht="15" customHeight="1">
      <c r="A77" s="314"/>
      <c r="B77" s="314"/>
      <c r="C77" s="314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</row>
    <row r="78" spans="1:42" ht="15" customHeight="1">
      <c r="A78" s="314"/>
      <c r="B78" s="314"/>
      <c r="C78" s="314"/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</row>
    <row r="79" spans="1:42" ht="15" customHeight="1">
      <c r="A79" s="314"/>
      <c r="B79" s="314"/>
      <c r="C79" s="314"/>
      <c r="D79" s="314"/>
      <c r="E79" s="314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/>
      <c r="AJ79" s="314"/>
      <c r="AK79" s="314"/>
      <c r="AL79" s="314"/>
      <c r="AM79" s="314"/>
      <c r="AN79" s="314"/>
      <c r="AO79" s="314"/>
      <c r="AP79" s="314"/>
    </row>
    <row r="80" spans="1:42" ht="15" customHeight="1">
      <c r="A80" s="314"/>
      <c r="B80" s="314"/>
      <c r="C80" s="314"/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4"/>
      <c r="AK80" s="314"/>
      <c r="AL80" s="314"/>
      <c r="AM80" s="314"/>
      <c r="AN80" s="314"/>
      <c r="AO80" s="314"/>
      <c r="AP80" s="314"/>
    </row>
    <row r="81" spans="1:42" ht="15" customHeight="1">
      <c r="A81" s="314"/>
      <c r="B81" s="314"/>
      <c r="C81" s="314"/>
      <c r="D81" s="314"/>
      <c r="E81" s="314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 s="314"/>
      <c r="R81" s="314"/>
      <c r="S81" s="314"/>
      <c r="T81" s="314"/>
      <c r="U81" s="314"/>
      <c r="V81" s="314"/>
      <c r="W81" s="314"/>
      <c r="X81" s="314"/>
      <c r="Y81" s="314"/>
      <c r="Z81" s="314"/>
      <c r="AA81" s="314"/>
      <c r="AB81" s="314"/>
      <c r="AC81" s="314"/>
      <c r="AD81" s="314"/>
      <c r="AE81" s="314"/>
      <c r="AF81" s="314"/>
      <c r="AG81" s="314"/>
      <c r="AH81" s="314"/>
      <c r="AI81" s="314"/>
      <c r="AJ81" s="314"/>
      <c r="AK81" s="314"/>
      <c r="AL81" s="314"/>
      <c r="AM81" s="314"/>
      <c r="AN81" s="314"/>
      <c r="AO81" s="314"/>
      <c r="AP81" s="314"/>
    </row>
    <row r="82" spans="1:42" ht="15" customHeight="1">
      <c r="A82" s="314"/>
      <c r="B82" s="314"/>
      <c r="C82" s="314"/>
      <c r="D82" s="314"/>
      <c r="E82" s="314"/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 s="314"/>
      <c r="R82" s="314"/>
      <c r="S82" s="314"/>
      <c r="T82" s="314"/>
      <c r="U82" s="314"/>
      <c r="V82" s="314"/>
      <c r="W82" s="314"/>
      <c r="X82" s="314"/>
      <c r="Y82" s="314"/>
      <c r="Z82" s="314"/>
      <c r="AA82" s="314"/>
      <c r="AB82" s="314"/>
      <c r="AC82" s="314"/>
      <c r="AD82" s="314"/>
      <c r="AE82" s="314"/>
      <c r="AF82" s="314"/>
      <c r="AG82" s="314"/>
      <c r="AH82" s="314"/>
      <c r="AI82" s="314"/>
      <c r="AJ82" s="314"/>
      <c r="AK82" s="314"/>
      <c r="AL82" s="314"/>
      <c r="AM82" s="314"/>
      <c r="AN82" s="314"/>
      <c r="AO82" s="314"/>
      <c r="AP82" s="314"/>
    </row>
    <row r="83" spans="1:42" ht="15" customHeight="1">
      <c r="A83" s="314"/>
      <c r="B83" s="314"/>
      <c r="C83" s="314"/>
      <c r="D83" s="314"/>
      <c r="E83" s="314"/>
      <c r="F83" s="314"/>
      <c r="G83" s="314"/>
      <c r="H83" s="314"/>
      <c r="I83" s="314"/>
      <c r="J83" s="314"/>
      <c r="K83" s="314"/>
      <c r="L83" s="314"/>
      <c r="M83" s="314"/>
      <c r="N83" s="314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/>
      <c r="AJ83" s="314"/>
      <c r="AK83" s="314"/>
      <c r="AL83" s="314"/>
      <c r="AM83" s="314"/>
      <c r="AN83" s="314"/>
      <c r="AO83" s="314"/>
      <c r="AP83" s="314"/>
    </row>
  </sheetData>
  <mergeCells count="1">
    <mergeCell ref="E8:G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01"/>
  <sheetViews>
    <sheetView workbookViewId="0"/>
  </sheetViews>
  <sheetFormatPr defaultColWidth="14.42578125" defaultRowHeight="12.75" customHeight="1"/>
  <cols>
    <col min="1" max="1" width="80.28515625" customWidth="1"/>
    <col min="2" max="2" width="108.140625" customWidth="1"/>
    <col min="3" max="20" width="17.28515625" customWidth="1"/>
  </cols>
  <sheetData>
    <row r="1" spans="1:20">
      <c r="A1" s="97" t="s">
        <v>108</v>
      </c>
      <c r="B1" s="97" t="s">
        <v>109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</row>
    <row r="2" spans="1:20" hidden="1">
      <c r="A2" s="97" t="s">
        <v>110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</row>
    <row r="3" spans="1:20" hidden="1">
      <c r="A3" s="97" t="s">
        <v>111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</row>
    <row r="4" spans="1:20" hidden="1">
      <c r="A4" s="97" t="s">
        <v>112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</row>
    <row r="5" spans="1:20" ht="25.5" hidden="1">
      <c r="A5" s="97" t="s">
        <v>113</v>
      </c>
      <c r="B5" s="99" t="s">
        <v>114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</row>
    <row r="6" spans="1:20" ht="25.5" hidden="1">
      <c r="A6" s="97" t="s">
        <v>115</v>
      </c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hidden="1">
      <c r="A7" s="97" t="s">
        <v>116</v>
      </c>
      <c r="B7" s="100" t="s">
        <v>117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hidden="1">
      <c r="A8" s="97" t="s">
        <v>118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</row>
    <row r="9" spans="1:20" ht="25.5" hidden="1">
      <c r="A9" s="97" t="s">
        <v>119</v>
      </c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</row>
    <row r="10" spans="1:20" ht="25.5" hidden="1">
      <c r="A10" s="97" t="s">
        <v>120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</row>
    <row r="11" spans="1:20" hidden="1">
      <c r="A11" s="97" t="s">
        <v>121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</row>
    <row r="12" spans="1:20" ht="25.5" hidden="1">
      <c r="A12" s="101" t="s">
        <v>122</v>
      </c>
      <c r="B12" s="102" t="s">
        <v>123</v>
      </c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</row>
    <row r="13" spans="1:20" hidden="1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</row>
    <row r="14" spans="1:20" hidden="1">
      <c r="A14" s="102" t="s">
        <v>124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</row>
    <row r="15" spans="1:20">
      <c r="A15" s="103">
        <v>42548</v>
      </c>
      <c r="B15" s="102" t="s">
        <v>125</v>
      </c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</row>
    <row r="16" spans="1:20">
      <c r="A16" s="103">
        <v>42548</v>
      </c>
      <c r="B16" s="102" t="s">
        <v>126</v>
      </c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</row>
    <row r="17" spans="1:20">
      <c r="A17" s="98"/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</row>
    <row r="18" spans="1:20">
      <c r="A18" s="98"/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</row>
    <row r="19" spans="1:20">
      <c r="A19" s="98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</row>
    <row r="20" spans="1:20">
      <c r="A20" s="98"/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</row>
    <row r="21" spans="1:20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</row>
    <row r="22" spans="1:20">
      <c r="A22" s="98"/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</row>
    <row r="23" spans="1:20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</row>
    <row r="24" spans="1:20">
      <c r="A24" s="98"/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</row>
    <row r="25" spans="1:20">
      <c r="A25" s="98"/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</row>
    <row r="26" spans="1:20">
      <c r="A26" s="98"/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</row>
    <row r="27" spans="1:20">
      <c r="A27" s="98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</row>
    <row r="28" spans="1:20">
      <c r="A28" s="98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</row>
    <row r="29" spans="1:20">
      <c r="A29" s="98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</row>
    <row r="30" spans="1:20">
      <c r="A30" s="98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</row>
    <row r="31" spans="1:20">
      <c r="A31" s="98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</row>
    <row r="32" spans="1:20">
      <c r="A32" s="98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</row>
    <row r="33" spans="1:20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</row>
    <row r="34" spans="1:20">
      <c r="A34" s="98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</row>
    <row r="35" spans="1:20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</row>
    <row r="36" spans="1:20">
      <c r="A36" s="98"/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</row>
    <row r="37" spans="1:20">
      <c r="A37" s="98"/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</row>
    <row r="38" spans="1:20">
      <c r="A38" s="98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</row>
    <row r="39" spans="1:20">
      <c r="A39" s="98"/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</row>
    <row r="40" spans="1:20">
      <c r="A40" s="98"/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</row>
    <row r="41" spans="1:20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</row>
    <row r="42" spans="1:20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</row>
    <row r="43" spans="1:20">
      <c r="A43" s="98"/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</row>
    <row r="44" spans="1:20">
      <c r="A44" s="98"/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</row>
    <row r="45" spans="1:20">
      <c r="A45" s="98"/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</row>
    <row r="46" spans="1:20">
      <c r="A46" s="98"/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</row>
    <row r="47" spans="1:20">
      <c r="A47" s="98"/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</row>
    <row r="48" spans="1:20">
      <c r="A48" s="98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</row>
    <row r="49" spans="1:20">
      <c r="A49" s="98"/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</row>
    <row r="50" spans="1:20">
      <c r="A50" s="98"/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</row>
    <row r="51" spans="1:20">
      <c r="A51" s="98"/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</row>
    <row r="52" spans="1:20">
      <c r="A52" s="98"/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</row>
    <row r="53" spans="1:20">
      <c r="A53" s="98"/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</row>
    <row r="54" spans="1:20">
      <c r="A54" s="98"/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</row>
    <row r="55" spans="1:20">
      <c r="A55" s="98"/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</row>
    <row r="56" spans="1:20">
      <c r="A56" s="98"/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</row>
    <row r="57" spans="1:20">
      <c r="A57" s="98"/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</row>
    <row r="58" spans="1:20">
      <c r="A58" s="98"/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</row>
    <row r="59" spans="1:20">
      <c r="A59" s="98"/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</row>
    <row r="60" spans="1:20">
      <c r="A60" s="98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</row>
    <row r="61" spans="1:20">
      <c r="A61" s="98"/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</row>
    <row r="62" spans="1:20">
      <c r="A62" s="98"/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</row>
    <row r="63" spans="1:20">
      <c r="A63" s="98"/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</row>
    <row r="64" spans="1:20">
      <c r="A64" s="98"/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</row>
    <row r="65" spans="1:20">
      <c r="A65" s="98"/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</row>
    <row r="66" spans="1:20">
      <c r="A66" s="98"/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</row>
    <row r="67" spans="1:20">
      <c r="A67" s="98"/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</row>
    <row r="68" spans="1:20">
      <c r="A68" s="98"/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</row>
    <row r="69" spans="1:20">
      <c r="A69" s="98"/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</row>
    <row r="70" spans="1:20">
      <c r="A70" s="98"/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</row>
    <row r="71" spans="1:20">
      <c r="A71" s="98"/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</row>
    <row r="72" spans="1:20">
      <c r="A72" s="98"/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</row>
    <row r="73" spans="1:20">
      <c r="A73" s="98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</row>
    <row r="74" spans="1:20">
      <c r="A74" s="98"/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</row>
    <row r="75" spans="1:20">
      <c r="A75" s="9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</row>
    <row r="76" spans="1:20">
      <c r="A76" s="9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</row>
    <row r="77" spans="1:20">
      <c r="A77" s="9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</row>
    <row r="78" spans="1:20">
      <c r="A78" s="9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</row>
    <row r="79" spans="1:20">
      <c r="A79" s="9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</row>
    <row r="80" spans="1:20">
      <c r="A80" s="9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</row>
    <row r="81" spans="1:20">
      <c r="A81" s="9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</row>
    <row r="82" spans="1:20">
      <c r="A82" s="98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</row>
    <row r="83" spans="1:20">
      <c r="A83" s="98"/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</row>
    <row r="84" spans="1:20">
      <c r="A84" s="98"/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</row>
    <row r="85" spans="1:20">
      <c r="A85" s="98"/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</row>
    <row r="86" spans="1:20">
      <c r="A86" s="98"/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</row>
    <row r="87" spans="1:20">
      <c r="A87" s="98"/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</row>
    <row r="88" spans="1:20">
      <c r="A88" s="98"/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</row>
    <row r="89" spans="1:20">
      <c r="A89" s="98"/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</row>
    <row r="90" spans="1:20">
      <c r="A90" s="98"/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</row>
    <row r="91" spans="1:20">
      <c r="A91" s="98"/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</row>
    <row r="92" spans="1:20">
      <c r="A92" s="98"/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</row>
    <row r="93" spans="1:20">
      <c r="A93" s="98"/>
      <c r="B93" s="98"/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</row>
    <row r="94" spans="1:20">
      <c r="A94" s="98"/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</row>
    <row r="95" spans="1:20">
      <c r="A95" s="98"/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98"/>
    </row>
    <row r="96" spans="1:20">
      <c r="A96" s="98"/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</row>
    <row r="97" spans="1:20">
      <c r="A97" s="98"/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</row>
    <row r="98" spans="1:20">
      <c r="A98" s="98"/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</row>
    <row r="99" spans="1:20">
      <c r="A99" s="98"/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</row>
    <row r="100" spans="1:20">
      <c r="A100" s="98"/>
      <c r="B100" s="98"/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</row>
    <row r="101" spans="1:20">
      <c r="A101" s="98"/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K17"/>
  <sheetViews>
    <sheetView workbookViewId="0"/>
  </sheetViews>
  <sheetFormatPr defaultColWidth="14.42578125" defaultRowHeight="12.75" customHeight="1"/>
  <sheetData>
    <row r="2" spans="2:11" ht="12.75" customHeight="1">
      <c r="D2" s="20"/>
      <c r="E2" s="20"/>
      <c r="F2" s="20"/>
      <c r="G2" s="80"/>
      <c r="H2" s="80"/>
      <c r="I2" s="2" t="s">
        <v>127</v>
      </c>
      <c r="J2" s="20"/>
    </row>
    <row r="3" spans="2:11" ht="12.75" customHeight="1">
      <c r="B3" s="57" t="s">
        <v>82</v>
      </c>
      <c r="C3" s="104" t="s">
        <v>128</v>
      </c>
      <c r="D3" s="57" t="s">
        <v>127</v>
      </c>
      <c r="E3" s="57" t="s">
        <v>129</v>
      </c>
      <c r="F3" s="57" t="s">
        <v>130</v>
      </c>
      <c r="G3" s="80"/>
      <c r="H3" s="80"/>
      <c r="I3" s="2">
        <v>0</v>
      </c>
      <c r="J3" s="3">
        <v>76</v>
      </c>
      <c r="K3" s="2">
        <v>0</v>
      </c>
    </row>
    <row r="4" spans="2:11" ht="12.75" customHeight="1">
      <c r="B4" s="65">
        <f>IF(C4=1,78,93)</f>
        <v>78</v>
      </c>
      <c r="C4" s="105">
        <v>1</v>
      </c>
      <c r="D4" s="106">
        <v>2</v>
      </c>
      <c r="E4" s="65">
        <f>LOG('Top Level'!L10,2)</f>
        <v>0</v>
      </c>
      <c r="F4" s="107">
        <f>B4+E5*1+C4*D5</f>
        <v>92</v>
      </c>
      <c r="G4" s="80"/>
      <c r="H4" s="80"/>
      <c r="I4" s="2">
        <v>1</v>
      </c>
      <c r="J4" s="2">
        <v>81</v>
      </c>
      <c r="K4" s="53">
        <f t="shared" ref="K4:K6" si="0">J4-J$3</f>
        <v>5</v>
      </c>
    </row>
    <row r="5" spans="2:11" ht="12.75" customHeight="1">
      <c r="B5" s="108"/>
      <c r="C5" s="108"/>
      <c r="D5" s="65">
        <f>VLOOKUP(D4,I3:K6,3)</f>
        <v>14</v>
      </c>
      <c r="E5" s="65">
        <f>VLOOKUP(E4,I9:K16,3)</f>
        <v>0</v>
      </c>
      <c r="F5" s="108"/>
      <c r="G5" s="80"/>
      <c r="H5" s="80"/>
      <c r="I5" s="2">
        <v>2</v>
      </c>
      <c r="J5" s="2">
        <v>90</v>
      </c>
      <c r="K5" s="53">
        <f t="shared" si="0"/>
        <v>14</v>
      </c>
    </row>
    <row r="6" spans="2:11" ht="12.75" customHeight="1">
      <c r="B6" s="80"/>
      <c r="C6" s="80"/>
      <c r="D6" s="80"/>
      <c r="E6" s="80"/>
      <c r="F6" s="80"/>
      <c r="G6" s="80"/>
      <c r="H6" s="80"/>
      <c r="I6" s="2">
        <v>3</v>
      </c>
      <c r="J6" s="2">
        <v>102</v>
      </c>
      <c r="K6" s="53">
        <f t="shared" si="0"/>
        <v>26</v>
      </c>
    </row>
    <row r="7" spans="2:11" ht="12.75" customHeight="1">
      <c r="B7" s="80"/>
      <c r="C7" s="80"/>
      <c r="D7" s="80"/>
      <c r="E7" s="80"/>
      <c r="F7" s="80"/>
      <c r="G7" s="80"/>
      <c r="H7" s="80"/>
      <c r="I7" s="20"/>
      <c r="J7" s="20"/>
      <c r="K7" s="20"/>
    </row>
    <row r="8" spans="2:11" ht="12.75" customHeight="1">
      <c r="B8" s="80"/>
      <c r="C8" s="80"/>
      <c r="D8" s="80"/>
      <c r="E8" s="80"/>
      <c r="F8" s="80"/>
      <c r="G8" s="80"/>
      <c r="H8" s="80"/>
      <c r="I8" s="2" t="s">
        <v>129</v>
      </c>
      <c r="J8" s="20"/>
      <c r="K8" s="20"/>
    </row>
    <row r="9" spans="2:11" ht="12.75" customHeight="1">
      <c r="B9" s="20"/>
      <c r="C9" s="20"/>
      <c r="D9" s="20"/>
      <c r="E9" s="20"/>
      <c r="F9" s="20"/>
      <c r="G9" s="20"/>
      <c r="H9" s="20"/>
      <c r="I9" s="2">
        <v>0</v>
      </c>
      <c r="J9" s="2">
        <v>76</v>
      </c>
      <c r="K9" s="53">
        <f t="shared" ref="K9:K16" si="1">J9-J$9</f>
        <v>0</v>
      </c>
    </row>
    <row r="10" spans="2:11" ht="12.75" customHeight="1">
      <c r="B10" s="20"/>
      <c r="C10" s="20"/>
      <c r="D10" s="20"/>
      <c r="E10" s="20"/>
      <c r="F10" s="20"/>
      <c r="G10" s="20"/>
      <c r="H10" s="20"/>
      <c r="I10" s="2">
        <v>1</v>
      </c>
      <c r="J10" s="3">
        <v>90</v>
      </c>
      <c r="K10" s="53">
        <f t="shared" si="1"/>
        <v>14</v>
      </c>
    </row>
    <row r="11" spans="2:11" ht="12.75" customHeight="1">
      <c r="B11" s="20"/>
      <c r="C11" s="20"/>
      <c r="D11" s="20"/>
      <c r="E11" s="20"/>
      <c r="F11" s="20"/>
      <c r="G11" s="20"/>
      <c r="H11" s="20"/>
      <c r="I11" s="2">
        <v>2</v>
      </c>
      <c r="J11" s="2">
        <v>101</v>
      </c>
      <c r="K11" s="53">
        <f t="shared" si="1"/>
        <v>25</v>
      </c>
    </row>
    <row r="12" spans="2:11" ht="12.75" customHeight="1">
      <c r="B12" s="20"/>
      <c r="C12" s="20"/>
      <c r="D12" s="20"/>
      <c r="E12" s="20"/>
      <c r="F12" s="20"/>
      <c r="G12" s="20"/>
      <c r="H12" s="20"/>
      <c r="I12" s="2">
        <v>3</v>
      </c>
      <c r="J12" s="2">
        <v>112</v>
      </c>
      <c r="K12" s="53">
        <f t="shared" si="1"/>
        <v>36</v>
      </c>
    </row>
    <row r="13" spans="2:11" ht="12.75" customHeight="1">
      <c r="B13" s="20"/>
      <c r="C13" s="20"/>
      <c r="D13" s="20"/>
      <c r="E13" s="20"/>
      <c r="F13" s="20"/>
      <c r="G13" s="20"/>
      <c r="H13" s="20"/>
      <c r="I13" s="2">
        <v>4</v>
      </c>
      <c r="J13" s="2">
        <v>123</v>
      </c>
      <c r="K13" s="53">
        <f t="shared" si="1"/>
        <v>47</v>
      </c>
    </row>
    <row r="14" spans="2:11" ht="12.75" customHeight="1">
      <c r="B14" s="20"/>
      <c r="C14" s="20"/>
      <c r="D14" s="20"/>
      <c r="E14" s="20"/>
      <c r="F14" s="20"/>
      <c r="G14" s="20"/>
      <c r="H14" s="20"/>
      <c r="I14" s="2">
        <v>5</v>
      </c>
      <c r="J14" s="2">
        <v>134</v>
      </c>
      <c r="K14" s="53">
        <f t="shared" si="1"/>
        <v>58</v>
      </c>
    </row>
    <row r="15" spans="2:11" ht="12.75" customHeight="1">
      <c r="B15" s="20"/>
      <c r="C15" s="20"/>
      <c r="D15" s="20"/>
      <c r="E15" s="20"/>
      <c r="F15" s="20"/>
      <c r="G15" s="20"/>
      <c r="H15" s="20"/>
      <c r="I15" s="2">
        <v>6</v>
      </c>
      <c r="J15" s="2">
        <v>142</v>
      </c>
      <c r="K15" s="53">
        <f t="shared" si="1"/>
        <v>66</v>
      </c>
    </row>
    <row r="16" spans="2:11" ht="12.75" customHeight="1">
      <c r="B16" s="20"/>
      <c r="C16" s="20"/>
      <c r="D16" s="20"/>
      <c r="E16" s="20"/>
      <c r="F16" s="20"/>
      <c r="G16" s="20"/>
      <c r="H16" s="20"/>
      <c r="I16" s="2">
        <v>7</v>
      </c>
      <c r="J16" s="2">
        <v>154</v>
      </c>
      <c r="K16" s="53">
        <f t="shared" si="1"/>
        <v>78</v>
      </c>
    </row>
    <row r="17" spans="2:11" ht="12.75" customHeight="1">
      <c r="B17" s="20"/>
      <c r="C17" s="20"/>
      <c r="D17" s="20"/>
      <c r="E17" s="20"/>
      <c r="F17" s="20"/>
      <c r="G17" s="20"/>
      <c r="H17" s="20"/>
      <c r="I17" s="20"/>
      <c r="J17" s="20"/>
      <c r="K17" s="20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S109"/>
  <sheetViews>
    <sheetView workbookViewId="0">
      <selection activeCell="D42" sqref="D42"/>
    </sheetView>
  </sheetViews>
  <sheetFormatPr defaultColWidth="14.42578125" defaultRowHeight="12.75" customHeight="1"/>
  <cols>
    <col min="1" max="3" width="17.28515625" customWidth="1"/>
    <col min="4" max="4" width="12.85546875" customWidth="1"/>
    <col min="5" max="5" width="17.28515625" customWidth="1"/>
    <col min="6" max="6" width="19.140625" customWidth="1"/>
    <col min="7" max="7" width="17.28515625" customWidth="1"/>
    <col min="8" max="8" width="7.5703125" customWidth="1"/>
    <col min="9" max="9" width="6" customWidth="1"/>
    <col min="10" max="10" width="11" customWidth="1"/>
    <col min="11" max="19" width="17.28515625" customWidth="1"/>
  </cols>
  <sheetData>
    <row r="2" spans="1:19">
      <c r="A2" s="460" t="s">
        <v>131</v>
      </c>
      <c r="B2" s="461"/>
      <c r="C2" s="461"/>
      <c r="D2" s="461"/>
      <c r="E2" s="461"/>
      <c r="F2" s="461"/>
      <c r="G2" s="461"/>
      <c r="H2" s="461"/>
      <c r="I2" s="461"/>
      <c r="J2" s="461"/>
    </row>
    <row r="3" spans="1:19">
      <c r="B3" s="86">
        <f t="shared" ref="B3:B4" si="0">A20*B$17/B$12</f>
        <v>3.082275390625</v>
      </c>
      <c r="C3" s="109" t="s">
        <v>607</v>
      </c>
      <c r="D3" s="10" t="s">
        <v>132</v>
      </c>
      <c r="E3" s="10" t="s">
        <v>77</v>
      </c>
    </row>
    <row r="4" spans="1:19">
      <c r="B4" s="86">
        <f t="shared" si="0"/>
        <v>1.9124348958333335</v>
      </c>
      <c r="D4" s="110" t="s">
        <v>608</v>
      </c>
      <c r="E4" s="110">
        <f>D4+B18</f>
        <v>984</v>
      </c>
    </row>
    <row r="8" spans="1:19" hidden="1">
      <c r="A8" s="90" t="s">
        <v>96</v>
      </c>
      <c r="B8" s="90" t="s">
        <v>97</v>
      </c>
      <c r="C8" s="91">
        <f>LCM(B14*1000000,B19*1000000)/1000000</f>
        <v>245.76</v>
      </c>
      <c r="F8" s="91">
        <f>LCM(E14*1000000,E19*1000000)/1000000</f>
        <v>983.04</v>
      </c>
    </row>
    <row r="9" spans="1:19" hidden="1">
      <c r="A9" s="90" t="s">
        <v>99</v>
      </c>
      <c r="B9" s="90" t="s">
        <v>100</v>
      </c>
      <c r="C9" s="91">
        <f>C8/B19</f>
        <v>256</v>
      </c>
      <c r="F9" s="91">
        <f>F8/E19</f>
        <v>1024</v>
      </c>
    </row>
    <row r="10" spans="1:19" hidden="1">
      <c r="A10" s="90" t="s">
        <v>106</v>
      </c>
      <c r="B10" s="90" t="s">
        <v>100</v>
      </c>
      <c r="C10" s="91">
        <f>C9*B17</f>
        <v>256</v>
      </c>
      <c r="F10" s="91">
        <f>F9*E17</f>
        <v>1024</v>
      </c>
    </row>
    <row r="11" spans="1:19">
      <c r="A11" s="20"/>
      <c r="B11" s="20"/>
      <c r="C11" s="20"/>
      <c r="D11" s="20"/>
      <c r="E11" s="20"/>
      <c r="F11" s="20"/>
      <c r="G11" s="2" t="s">
        <v>97</v>
      </c>
      <c r="H11" s="20"/>
      <c r="I11" s="20"/>
      <c r="J11" s="20"/>
      <c r="K11" s="20"/>
      <c r="M11" s="20"/>
      <c r="N11" s="20"/>
      <c r="O11" s="20"/>
      <c r="P11" s="20"/>
      <c r="Q11" s="20"/>
      <c r="R11" s="20"/>
      <c r="S11" s="20"/>
    </row>
    <row r="12" spans="1:19">
      <c r="A12" s="2" t="s">
        <v>133</v>
      </c>
      <c r="B12" s="111">
        <v>983.04</v>
      </c>
      <c r="C12" s="3" t="s">
        <v>134</v>
      </c>
      <c r="D12" s="20"/>
      <c r="E12" s="111">
        <v>983.04</v>
      </c>
      <c r="F12" s="3" t="s">
        <v>135</v>
      </c>
      <c r="G12" s="58">
        <f>LCM(B12*1000000,E12*1000000)/1000000</f>
        <v>983.04</v>
      </c>
      <c r="H12" s="20"/>
      <c r="I12" s="20"/>
      <c r="J12" s="20"/>
      <c r="K12" s="20"/>
      <c r="M12" s="20"/>
      <c r="N12" s="20"/>
      <c r="O12" s="20"/>
      <c r="P12" s="20"/>
      <c r="Q12" s="20"/>
      <c r="R12" s="20"/>
      <c r="S12" s="20"/>
    </row>
    <row r="13" spans="1:19">
      <c r="A13" s="2" t="s">
        <v>136</v>
      </c>
      <c r="B13" s="111">
        <v>4</v>
      </c>
      <c r="C13" s="112"/>
      <c r="D13" s="112"/>
      <c r="E13" s="111">
        <v>3</v>
      </c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</row>
    <row r="14" spans="1:19">
      <c r="A14" s="2" t="s">
        <v>137</v>
      </c>
      <c r="B14" s="113">
        <f>B12/B13</f>
        <v>245.76</v>
      </c>
      <c r="C14" s="20"/>
      <c r="D14" s="20"/>
      <c r="E14" s="113">
        <f>E12/E13</f>
        <v>327.68</v>
      </c>
      <c r="F14" s="3" t="s">
        <v>138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</row>
    <row r="15" spans="1:19">
      <c r="A15" s="2" t="s">
        <v>139</v>
      </c>
      <c r="B15" s="114">
        <f>IF(B16=1,C9,C10)</f>
        <v>256</v>
      </c>
      <c r="C15" s="112"/>
      <c r="D15" s="112"/>
      <c r="E15" s="114">
        <f>IF(E16=1,F9,F10)</f>
        <v>1024</v>
      </c>
      <c r="F15" s="3" t="s">
        <v>140</v>
      </c>
      <c r="G15" s="112"/>
      <c r="H15" s="112"/>
      <c r="I15" s="112"/>
      <c r="J15" s="20"/>
      <c r="K15" s="20"/>
      <c r="L15" s="20"/>
      <c r="M15" s="20"/>
      <c r="N15" s="20"/>
      <c r="O15" s="20"/>
      <c r="P15" s="20"/>
      <c r="Q15" s="20"/>
      <c r="R15" s="20"/>
      <c r="S15" s="20"/>
    </row>
    <row r="16" spans="1:19">
      <c r="A16" s="2" t="s">
        <v>141</v>
      </c>
      <c r="B16" s="115">
        <v>0</v>
      </c>
      <c r="C16" s="2" t="s">
        <v>142</v>
      </c>
      <c r="D16" s="20"/>
      <c r="E16" s="113">
        <f t="shared" ref="E16:E19" si="1">B16</f>
        <v>0</v>
      </c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</row>
    <row r="17" spans="1:19">
      <c r="A17" s="2" t="s">
        <v>143</v>
      </c>
      <c r="B17" s="113">
        <f>IF(A20&gt;=3000,1,IF(A20&gt;=1500,2,IF(A20&gt;=750,4,IF(A20&gt;=375,8,IF(A20&gt;=187.5,16,IF(A20&gt;=93.75,32,IF(A20&gt;=46.875,64,128)))))))</f>
        <v>1</v>
      </c>
      <c r="C17" s="20"/>
      <c r="D17" s="20"/>
      <c r="E17" s="113">
        <f t="shared" si="1"/>
        <v>1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</row>
    <row r="18" spans="1:19">
      <c r="A18" s="2" t="s">
        <v>144</v>
      </c>
      <c r="B18" s="116">
        <v>0.96</v>
      </c>
      <c r="C18" s="2" t="s">
        <v>145</v>
      </c>
      <c r="D18" s="20"/>
      <c r="E18" s="113">
        <f t="shared" si="1"/>
        <v>0.96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</row>
    <row r="19" spans="1:19">
      <c r="A19" s="2" t="s">
        <v>146</v>
      </c>
      <c r="B19" s="113">
        <f>B18*B17</f>
        <v>0.96</v>
      </c>
      <c r="C19" s="20"/>
      <c r="D19" s="20"/>
      <c r="E19" s="113">
        <f t="shared" si="1"/>
        <v>0.96</v>
      </c>
      <c r="F19" s="20"/>
      <c r="G19" s="53">
        <f>4/B15</f>
        <v>1.5625E-2</v>
      </c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</row>
    <row r="20" spans="1:19">
      <c r="A20" s="116">
        <v>3030</v>
      </c>
      <c r="B20" s="53">
        <f t="shared" ref="B20:B21" si="2">B$17*$A20/B$14</f>
        <v>12.3291015625</v>
      </c>
      <c r="C20" s="2" t="s">
        <v>147</v>
      </c>
      <c r="D20" s="20"/>
      <c r="E20" s="53">
        <f t="shared" ref="E20:E21" si="3">E$17*$A20/E$14</f>
        <v>9.246826171875</v>
      </c>
      <c r="F20" s="2" t="s">
        <v>148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</row>
    <row r="21" spans="1:19">
      <c r="A21" s="116">
        <v>1880</v>
      </c>
      <c r="B21" s="53">
        <f t="shared" si="2"/>
        <v>7.6497395833333339</v>
      </c>
      <c r="C21" s="2" t="s">
        <v>149</v>
      </c>
      <c r="D21" s="20"/>
      <c r="E21" s="53">
        <f t="shared" si="3"/>
        <v>5.7373046875</v>
      </c>
      <c r="F21" s="2" t="s">
        <v>148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</row>
    <row r="22" spans="1:19">
      <c r="A22" s="2" t="s">
        <v>150</v>
      </c>
      <c r="B22" s="113">
        <f>B19/(B14/B15)</f>
        <v>1</v>
      </c>
      <c r="C22" s="20"/>
      <c r="D22" s="20"/>
      <c r="E22" s="113">
        <f>E19/(E14/E15)</f>
        <v>3</v>
      </c>
      <c r="F22" s="20"/>
      <c r="G22" s="20"/>
      <c r="H22" s="20"/>
      <c r="I22" s="2" t="s">
        <v>151</v>
      </c>
      <c r="J22" s="2" t="s">
        <v>152</v>
      </c>
      <c r="K22" s="20"/>
      <c r="L22" s="20"/>
      <c r="M22" s="20"/>
      <c r="N22" s="20"/>
      <c r="O22" s="20"/>
      <c r="P22" s="20"/>
      <c r="Q22" s="20"/>
      <c r="R22" s="20"/>
      <c r="S22" s="20"/>
    </row>
    <row r="23" spans="1:19">
      <c r="A23" s="3" t="s">
        <v>153</v>
      </c>
      <c r="B23" s="2" t="s">
        <v>154</v>
      </c>
      <c r="C23" s="2" t="s">
        <v>155</v>
      </c>
      <c r="D23" s="2" t="s">
        <v>77</v>
      </c>
      <c r="E23" s="2" t="s">
        <v>156</v>
      </c>
      <c r="F23" s="3" t="s">
        <v>157</v>
      </c>
      <c r="G23" s="3" t="s">
        <v>158</v>
      </c>
      <c r="H23" s="20"/>
      <c r="I23" s="20"/>
      <c r="J23" s="20"/>
      <c r="K23" s="20"/>
      <c r="L23" s="20"/>
      <c r="M23" s="2" t="s">
        <v>159</v>
      </c>
      <c r="N23" s="2" t="s">
        <v>160</v>
      </c>
      <c r="O23" s="20"/>
      <c r="P23" s="20"/>
      <c r="Q23" s="20"/>
      <c r="R23" s="20"/>
      <c r="S23" s="20"/>
    </row>
    <row r="24" spans="1:19">
      <c r="A24" s="113">
        <f>ROUNDUP(B20,0)</f>
        <v>13</v>
      </c>
      <c r="B24" s="53">
        <f>B22</f>
        <v>1</v>
      </c>
      <c r="C24" s="53">
        <f t="shared" ref="C24:C51" si="4">IF(A24="","",$B$14*(A24+B24/$B$15)/$B$17)</f>
        <v>3195.8399999999997</v>
      </c>
      <c r="D24" s="53">
        <f>(B24/B15)*B14*1000</f>
        <v>960</v>
      </c>
      <c r="E24" s="53">
        <f t="shared" ref="E24:E35" si="5">($C24*E$17)/E$14</f>
        <v>9.7529296874999982</v>
      </c>
      <c r="F24" s="53">
        <f t="shared" ref="F24:F35" si="6">ROUNDDOWN(E24,0)</f>
        <v>9</v>
      </c>
      <c r="G24" s="58">
        <f t="shared" ref="G24:G35" si="7">(E24-F24)*E$15</f>
        <v>770.99999999999818</v>
      </c>
      <c r="H24" s="4">
        <f>(G24/E15)*E14*1000</f>
        <v>246719.99999999942</v>
      </c>
      <c r="I24" s="117" t="str">
        <f t="shared" ref="I24:I35" si="8">IF(OR(ABS(G24-E$15)/E$15&lt;G$19,G24/E$15&lt;G$19),"opps","ok")</f>
        <v>ok</v>
      </c>
      <c r="J24" s="2" t="s">
        <v>161</v>
      </c>
      <c r="K24" s="118">
        <f>B24/B$15</f>
        <v>3.90625E-3</v>
      </c>
      <c r="L24" s="118">
        <f>G24/E$15</f>
        <v>0.75292968749999822</v>
      </c>
      <c r="M24" s="53">
        <f>A24/B22</f>
        <v>13</v>
      </c>
      <c r="N24" s="53">
        <f>F24/B22</f>
        <v>9</v>
      </c>
      <c r="O24" s="20"/>
      <c r="P24" s="20"/>
      <c r="Q24" s="20"/>
      <c r="R24" s="20"/>
      <c r="S24" s="20"/>
    </row>
    <row r="25" spans="1:19">
      <c r="A25" s="113">
        <f>A24</f>
        <v>13</v>
      </c>
      <c r="B25" s="53">
        <f>B$15-B24</f>
        <v>255</v>
      </c>
      <c r="C25" s="53">
        <f t="shared" si="4"/>
        <v>3439.68</v>
      </c>
      <c r="D25" s="20"/>
      <c r="E25" s="53">
        <f t="shared" si="5"/>
        <v>10.4970703125</v>
      </c>
      <c r="F25" s="53">
        <f t="shared" si="6"/>
        <v>10</v>
      </c>
      <c r="G25" s="58">
        <f t="shared" si="7"/>
        <v>509</v>
      </c>
      <c r="H25" s="20"/>
      <c r="I25" s="117" t="str">
        <f t="shared" si="8"/>
        <v>ok</v>
      </c>
      <c r="J25" s="2" t="s">
        <v>161</v>
      </c>
      <c r="K25" s="20"/>
      <c r="L25" s="20"/>
      <c r="M25" s="20"/>
      <c r="N25" s="20"/>
      <c r="O25" s="20"/>
      <c r="P25" s="20"/>
      <c r="Q25" s="20"/>
      <c r="R25" s="20"/>
      <c r="S25" s="20"/>
    </row>
    <row r="26" spans="1:19">
      <c r="A26" s="113" t="s">
        <v>609</v>
      </c>
      <c r="B26" s="53">
        <f t="shared" ref="B26:B51" si="9">B24</f>
        <v>1</v>
      </c>
      <c r="C26" s="53" t="str">
        <f t="shared" si="4"/>
        <v/>
      </c>
      <c r="D26" s="20"/>
      <c r="E26" s="53" t="e">
        <f t="shared" si="5"/>
        <v>#VALUE!</v>
      </c>
      <c r="F26" s="53" t="e">
        <f t="shared" si="6"/>
        <v>#VALUE!</v>
      </c>
      <c r="G26" s="58" t="e">
        <f t="shared" si="7"/>
        <v>#VALUE!</v>
      </c>
      <c r="H26" s="20"/>
      <c r="I26" s="117" t="e">
        <f t="shared" si="8"/>
        <v>#VALUE!</v>
      </c>
      <c r="J26" s="2" t="s">
        <v>161</v>
      </c>
      <c r="K26" s="118">
        <f>B26/B$15</f>
        <v>3.90625E-3</v>
      </c>
      <c r="L26" s="118" t="e">
        <f>G26/E$15</f>
        <v>#VALUE!</v>
      </c>
      <c r="M26" s="20"/>
      <c r="N26" s="20"/>
      <c r="O26" s="20"/>
      <c r="P26" s="20"/>
      <c r="Q26" s="20"/>
      <c r="R26" s="20"/>
      <c r="S26" s="20"/>
    </row>
    <row r="27" spans="1:19">
      <c r="A27" s="113" t="str">
        <f>IF(A26="","",A26)</f>
        <v/>
      </c>
      <c r="B27" s="53">
        <f t="shared" si="9"/>
        <v>255</v>
      </c>
      <c r="C27" s="53" t="str">
        <f t="shared" si="4"/>
        <v/>
      </c>
      <c r="D27" s="20"/>
      <c r="E27" s="53" t="e">
        <f t="shared" si="5"/>
        <v>#VALUE!</v>
      </c>
      <c r="F27" s="53" t="e">
        <f t="shared" si="6"/>
        <v>#VALUE!</v>
      </c>
      <c r="G27" s="58" t="e">
        <f t="shared" si="7"/>
        <v>#VALUE!</v>
      </c>
      <c r="H27" s="20"/>
      <c r="I27" s="117" t="e">
        <f t="shared" si="8"/>
        <v>#VALUE!</v>
      </c>
      <c r="J27" s="2" t="s">
        <v>161</v>
      </c>
      <c r="K27" s="20"/>
      <c r="L27" s="20"/>
      <c r="M27" s="20"/>
      <c r="N27" s="20"/>
      <c r="O27" s="20"/>
      <c r="P27" s="20"/>
      <c r="Q27" s="20"/>
      <c r="R27" s="20"/>
      <c r="S27" s="20"/>
    </row>
    <row r="28" spans="1:19">
      <c r="A28" s="113" t="s">
        <v>609</v>
      </c>
      <c r="B28" s="53">
        <f t="shared" si="9"/>
        <v>1</v>
      </c>
      <c r="C28" s="53" t="str">
        <f t="shared" si="4"/>
        <v/>
      </c>
      <c r="D28" s="20"/>
      <c r="E28" s="53" t="e">
        <f t="shared" si="5"/>
        <v>#VALUE!</v>
      </c>
      <c r="F28" s="53" t="e">
        <f t="shared" si="6"/>
        <v>#VALUE!</v>
      </c>
      <c r="G28" s="58" t="e">
        <f t="shared" si="7"/>
        <v>#VALUE!</v>
      </c>
      <c r="H28" s="20"/>
      <c r="I28" s="117" t="e">
        <f t="shared" si="8"/>
        <v>#VALUE!</v>
      </c>
      <c r="J28" s="2" t="s">
        <v>161</v>
      </c>
      <c r="K28" s="118">
        <f>B28/B$15</f>
        <v>3.90625E-3</v>
      </c>
      <c r="L28" s="118" t="e">
        <f>G28/E$15</f>
        <v>#VALUE!</v>
      </c>
      <c r="M28" s="20"/>
      <c r="N28" s="20"/>
      <c r="O28" s="20"/>
      <c r="P28" s="20"/>
      <c r="Q28" s="20"/>
      <c r="R28" s="20"/>
      <c r="S28" s="20"/>
    </row>
    <row r="29" spans="1:19">
      <c r="A29" s="113" t="str">
        <f>IF(A28="","",A28)</f>
        <v/>
      </c>
      <c r="B29" s="53">
        <f t="shared" si="9"/>
        <v>255</v>
      </c>
      <c r="C29" s="53" t="str">
        <f t="shared" si="4"/>
        <v/>
      </c>
      <c r="D29" s="20"/>
      <c r="E29" s="53" t="e">
        <f t="shared" si="5"/>
        <v>#VALUE!</v>
      </c>
      <c r="F29" s="53" t="e">
        <f t="shared" si="6"/>
        <v>#VALUE!</v>
      </c>
      <c r="G29" s="58" t="e">
        <f t="shared" si="7"/>
        <v>#VALUE!</v>
      </c>
      <c r="H29" s="20"/>
      <c r="I29" s="117" t="e">
        <f t="shared" si="8"/>
        <v>#VALUE!</v>
      </c>
      <c r="J29" s="2" t="s">
        <v>161</v>
      </c>
      <c r="K29" s="118"/>
      <c r="L29" s="118"/>
      <c r="M29" s="20"/>
      <c r="N29" s="20"/>
      <c r="O29" s="20"/>
      <c r="P29" s="20"/>
      <c r="Q29" s="20"/>
      <c r="R29" s="20"/>
      <c r="S29" s="20"/>
    </row>
    <row r="30" spans="1:19">
      <c r="A30" s="113" t="s">
        <v>609</v>
      </c>
      <c r="B30" s="53">
        <f t="shared" si="9"/>
        <v>1</v>
      </c>
      <c r="C30" s="53" t="str">
        <f t="shared" si="4"/>
        <v/>
      </c>
      <c r="D30" s="20"/>
      <c r="E30" s="53" t="e">
        <f t="shared" si="5"/>
        <v>#VALUE!</v>
      </c>
      <c r="F30" s="53" t="e">
        <f t="shared" si="6"/>
        <v>#VALUE!</v>
      </c>
      <c r="G30" s="58" t="e">
        <f t="shared" si="7"/>
        <v>#VALUE!</v>
      </c>
      <c r="H30" s="20"/>
      <c r="I30" s="117" t="e">
        <f t="shared" si="8"/>
        <v>#VALUE!</v>
      </c>
      <c r="J30" s="2" t="s">
        <v>161</v>
      </c>
      <c r="K30" s="118">
        <f>B30/B$15</f>
        <v>3.90625E-3</v>
      </c>
      <c r="L30" s="118" t="e">
        <f>G30/E$15</f>
        <v>#VALUE!</v>
      </c>
      <c r="M30" s="20"/>
      <c r="N30" s="20"/>
      <c r="O30" s="20"/>
      <c r="P30" s="20"/>
      <c r="Q30" s="20"/>
      <c r="R30" s="20"/>
      <c r="S30" s="20"/>
    </row>
    <row r="31" spans="1:19">
      <c r="A31" s="113" t="str">
        <f>IF(A30="","",A30)</f>
        <v/>
      </c>
      <c r="B31" s="53">
        <f t="shared" si="9"/>
        <v>255</v>
      </c>
      <c r="C31" s="53" t="str">
        <f t="shared" si="4"/>
        <v/>
      </c>
      <c r="D31" s="20"/>
      <c r="E31" s="53" t="e">
        <f t="shared" si="5"/>
        <v>#VALUE!</v>
      </c>
      <c r="F31" s="53" t="e">
        <f t="shared" si="6"/>
        <v>#VALUE!</v>
      </c>
      <c r="G31" s="58" t="e">
        <f t="shared" si="7"/>
        <v>#VALUE!</v>
      </c>
      <c r="H31" s="20"/>
      <c r="I31" s="117" t="e">
        <f t="shared" si="8"/>
        <v>#VALUE!</v>
      </c>
      <c r="J31" s="2" t="s">
        <v>161</v>
      </c>
      <c r="K31" s="20"/>
      <c r="L31" s="20"/>
      <c r="M31" s="20"/>
      <c r="N31" s="20"/>
      <c r="O31" s="20"/>
      <c r="P31" s="20"/>
      <c r="Q31" s="20"/>
      <c r="R31" s="20"/>
      <c r="S31" s="20"/>
    </row>
    <row r="32" spans="1:19">
      <c r="A32" s="113" t="s">
        <v>609</v>
      </c>
      <c r="B32" s="53">
        <f t="shared" si="9"/>
        <v>1</v>
      </c>
      <c r="C32" s="53" t="str">
        <f t="shared" si="4"/>
        <v/>
      </c>
      <c r="D32" s="20"/>
      <c r="E32" s="53" t="e">
        <f t="shared" si="5"/>
        <v>#VALUE!</v>
      </c>
      <c r="F32" s="53" t="e">
        <f t="shared" si="6"/>
        <v>#VALUE!</v>
      </c>
      <c r="G32" s="58" t="e">
        <f t="shared" si="7"/>
        <v>#VALUE!</v>
      </c>
      <c r="H32" s="20"/>
      <c r="I32" s="117" t="e">
        <f t="shared" si="8"/>
        <v>#VALUE!</v>
      </c>
      <c r="J32" s="2" t="s">
        <v>161</v>
      </c>
      <c r="K32" s="118">
        <f>B32/B$15</f>
        <v>3.90625E-3</v>
      </c>
      <c r="L32" s="118" t="e">
        <f>G32/E$15</f>
        <v>#VALUE!</v>
      </c>
      <c r="M32" s="20"/>
      <c r="N32" s="20"/>
      <c r="O32" s="20"/>
      <c r="P32" s="20"/>
      <c r="Q32" s="20"/>
      <c r="R32" s="20"/>
      <c r="S32" s="20"/>
    </row>
    <row r="33" spans="1:19">
      <c r="A33" s="113" t="str">
        <f>IF(A32="","",A32)</f>
        <v/>
      </c>
      <c r="B33" s="53">
        <f t="shared" si="9"/>
        <v>255</v>
      </c>
      <c r="C33" s="53" t="str">
        <f t="shared" si="4"/>
        <v/>
      </c>
      <c r="D33" s="20"/>
      <c r="E33" s="53" t="e">
        <f t="shared" si="5"/>
        <v>#VALUE!</v>
      </c>
      <c r="F33" s="53" t="e">
        <f t="shared" si="6"/>
        <v>#VALUE!</v>
      </c>
      <c r="G33" s="58" t="e">
        <f t="shared" si="7"/>
        <v>#VALUE!</v>
      </c>
      <c r="H33" s="20"/>
      <c r="I33" s="117" t="e">
        <f t="shared" si="8"/>
        <v>#VALUE!</v>
      </c>
      <c r="J33" s="2" t="s">
        <v>161</v>
      </c>
      <c r="K33" s="20"/>
      <c r="L33" s="20"/>
      <c r="M33" s="20"/>
      <c r="N33" s="20"/>
      <c r="O33" s="20"/>
      <c r="P33" s="20"/>
      <c r="Q33" s="20"/>
      <c r="R33" s="20"/>
      <c r="S33" s="20"/>
    </row>
    <row r="34" spans="1:19">
      <c r="A34" s="113" t="s">
        <v>609</v>
      </c>
      <c r="B34" s="53">
        <f t="shared" si="9"/>
        <v>1</v>
      </c>
      <c r="C34" s="53" t="str">
        <f t="shared" si="4"/>
        <v/>
      </c>
      <c r="D34" s="20"/>
      <c r="E34" s="53" t="e">
        <f t="shared" si="5"/>
        <v>#VALUE!</v>
      </c>
      <c r="F34" s="53" t="e">
        <f t="shared" si="6"/>
        <v>#VALUE!</v>
      </c>
      <c r="G34" s="58" t="e">
        <f t="shared" si="7"/>
        <v>#VALUE!</v>
      </c>
      <c r="H34" s="20"/>
      <c r="I34" s="117" t="e">
        <f t="shared" si="8"/>
        <v>#VALUE!</v>
      </c>
      <c r="J34" s="2" t="s">
        <v>161</v>
      </c>
      <c r="K34" s="118">
        <f>B34/B$15</f>
        <v>3.90625E-3</v>
      </c>
      <c r="L34" s="118" t="e">
        <f>G34/E$15</f>
        <v>#VALUE!</v>
      </c>
      <c r="M34" s="20"/>
      <c r="N34" s="20"/>
      <c r="O34" s="20"/>
      <c r="P34" s="20"/>
      <c r="Q34" s="20"/>
      <c r="R34" s="20"/>
      <c r="S34" s="20"/>
    </row>
    <row r="35" spans="1:19">
      <c r="A35" s="113" t="str">
        <f>IF(A34="","",A34)</f>
        <v/>
      </c>
      <c r="B35" s="53">
        <f t="shared" si="9"/>
        <v>255</v>
      </c>
      <c r="C35" s="53" t="str">
        <f t="shared" si="4"/>
        <v/>
      </c>
      <c r="D35" s="20"/>
      <c r="E35" s="53" t="e">
        <f t="shared" si="5"/>
        <v>#VALUE!</v>
      </c>
      <c r="F35" s="53" t="e">
        <f t="shared" si="6"/>
        <v>#VALUE!</v>
      </c>
      <c r="G35" s="58" t="e">
        <f t="shared" si="7"/>
        <v>#VALUE!</v>
      </c>
      <c r="H35" s="20"/>
      <c r="I35" s="117" t="e">
        <f t="shared" si="8"/>
        <v>#VALUE!</v>
      </c>
      <c r="J35" s="2" t="s">
        <v>161</v>
      </c>
      <c r="K35" s="20"/>
      <c r="L35" s="20"/>
      <c r="M35" s="20"/>
      <c r="N35" s="20"/>
      <c r="O35" s="20"/>
      <c r="P35" s="20"/>
      <c r="Q35" s="20"/>
      <c r="R35" s="20"/>
      <c r="S35" s="20"/>
    </row>
    <row r="36" spans="1:19">
      <c r="A36" s="113" t="s">
        <v>609</v>
      </c>
      <c r="B36" s="53">
        <f t="shared" si="9"/>
        <v>1</v>
      </c>
      <c r="C36" s="53" t="str">
        <f t="shared" si="4"/>
        <v/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</row>
    <row r="37" spans="1:19">
      <c r="A37" s="113" t="str">
        <f>IF(A36="","",A36)</f>
        <v/>
      </c>
      <c r="B37" s="53">
        <f t="shared" si="9"/>
        <v>255</v>
      </c>
      <c r="C37" s="53" t="str">
        <f t="shared" si="4"/>
        <v/>
      </c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</row>
    <row r="38" spans="1:19">
      <c r="A38" s="113" t="s">
        <v>609</v>
      </c>
      <c r="B38" s="53">
        <f t="shared" si="9"/>
        <v>1</v>
      </c>
      <c r="C38" s="53" t="str">
        <f t="shared" si="4"/>
        <v/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</row>
    <row r="39" spans="1:19">
      <c r="A39" s="113" t="str">
        <f>IF(A38="","",A38)</f>
        <v/>
      </c>
      <c r="B39" s="53">
        <f t="shared" si="9"/>
        <v>255</v>
      </c>
      <c r="C39" s="53" t="str">
        <f t="shared" si="4"/>
        <v/>
      </c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</row>
    <row r="40" spans="1:19">
      <c r="A40" s="113" t="s">
        <v>609</v>
      </c>
      <c r="B40" s="53">
        <f t="shared" si="9"/>
        <v>1</v>
      </c>
      <c r="C40" s="53" t="str">
        <f t="shared" si="4"/>
        <v/>
      </c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</row>
    <row r="41" spans="1:19">
      <c r="A41" s="113" t="str">
        <f>IF(A40="","",A40)</f>
        <v/>
      </c>
      <c r="B41" s="53">
        <f t="shared" si="9"/>
        <v>255</v>
      </c>
      <c r="C41" s="53" t="str">
        <f t="shared" si="4"/>
        <v/>
      </c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</row>
    <row r="42" spans="1:19">
      <c r="A42" s="113" t="s">
        <v>609</v>
      </c>
      <c r="B42" s="53">
        <f t="shared" si="9"/>
        <v>1</v>
      </c>
      <c r="C42" s="53" t="str">
        <f t="shared" si="4"/>
        <v/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</row>
    <row r="43" spans="1:19">
      <c r="A43" s="113" t="str">
        <f>IF(A42="","",A42)</f>
        <v/>
      </c>
      <c r="B43" s="53">
        <f t="shared" si="9"/>
        <v>255</v>
      </c>
      <c r="C43" s="53" t="str">
        <f t="shared" si="4"/>
        <v/>
      </c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</row>
    <row r="44" spans="1:19">
      <c r="A44" s="113" t="s">
        <v>609</v>
      </c>
      <c r="B44" s="53">
        <f t="shared" si="9"/>
        <v>1</v>
      </c>
      <c r="C44" s="53" t="str">
        <f t="shared" si="4"/>
        <v/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</row>
    <row r="45" spans="1:19">
      <c r="A45" s="113" t="str">
        <f>IF(A44="","",A44)</f>
        <v/>
      </c>
      <c r="B45" s="53">
        <f t="shared" si="9"/>
        <v>255</v>
      </c>
      <c r="C45" s="53" t="str">
        <f t="shared" si="4"/>
        <v/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</row>
    <row r="46" spans="1:19">
      <c r="A46" s="113" t="s">
        <v>609</v>
      </c>
      <c r="B46" s="53">
        <f t="shared" si="9"/>
        <v>1</v>
      </c>
      <c r="C46" s="53" t="str">
        <f t="shared" si="4"/>
        <v/>
      </c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</row>
    <row r="47" spans="1:19">
      <c r="A47" s="113" t="str">
        <f>IF(A46="","",A46)</f>
        <v/>
      </c>
      <c r="B47" s="53">
        <f t="shared" si="9"/>
        <v>255</v>
      </c>
      <c r="C47" s="53" t="str">
        <f t="shared" si="4"/>
        <v/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</row>
    <row r="48" spans="1:19">
      <c r="A48" s="113" t="s">
        <v>609</v>
      </c>
      <c r="B48" s="53">
        <f t="shared" si="9"/>
        <v>1</v>
      </c>
      <c r="C48" s="53" t="str">
        <f t="shared" si="4"/>
        <v/>
      </c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19">
      <c r="A49" s="113" t="str">
        <f>IF(A48="","",A48)</f>
        <v/>
      </c>
      <c r="B49" s="53">
        <f t="shared" si="9"/>
        <v>255</v>
      </c>
      <c r="C49" s="53" t="str">
        <f t="shared" si="4"/>
        <v/>
      </c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19">
      <c r="A50" s="113" t="s">
        <v>609</v>
      </c>
      <c r="B50" s="53">
        <f t="shared" si="9"/>
        <v>1</v>
      </c>
      <c r="C50" s="53" t="str">
        <f t="shared" si="4"/>
        <v/>
      </c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19">
      <c r="A51" s="113" t="str">
        <f>IF(A50="","",A50)</f>
        <v/>
      </c>
      <c r="B51" s="53">
        <f t="shared" si="9"/>
        <v>255</v>
      </c>
      <c r="C51" s="53" t="str">
        <f t="shared" si="4"/>
        <v/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</row>
    <row r="52" spans="1:19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</row>
    <row r="53" spans="1:19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</row>
    <row r="54" spans="1:19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</row>
    <row r="55" spans="1:19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</row>
    <row r="56" spans="1:19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</row>
    <row r="57" spans="1:19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</row>
    <row r="58" spans="1:19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</row>
    <row r="59" spans="1:1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</row>
    <row r="60" spans="1:19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</row>
    <row r="61" spans="1:19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</row>
    <row r="62" spans="1:19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</row>
    <row r="63" spans="1:1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</row>
    <row r="64" spans="1:19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</row>
    <row r="65" spans="1:19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</row>
    <row r="66" spans="1:19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</row>
    <row r="67" spans="1:19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</row>
    <row r="68" spans="1:19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</row>
    <row r="69" spans="1:1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</row>
    <row r="70" spans="1:19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</row>
    <row r="71" spans="1:19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</row>
    <row r="72" spans="1:19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</row>
    <row r="73" spans="1:19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</row>
    <row r="74" spans="1:19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</row>
    <row r="75" spans="1:19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</row>
    <row r="76" spans="1:19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</row>
    <row r="77" spans="1:19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</row>
    <row r="78" spans="1:19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</row>
    <row r="79" spans="1:1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</row>
    <row r="80" spans="1:19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</row>
    <row r="81" spans="1:19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  <row r="82" spans="1:19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</row>
    <row r="83" spans="1:19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</row>
    <row r="84" spans="1:19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pans="1:19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</row>
    <row r="86" spans="1:19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</row>
    <row r="87" spans="1:19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</row>
    <row r="88" spans="1:19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</row>
    <row r="89" spans="1:1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</row>
    <row r="90" spans="1:19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  <row r="91" spans="1:19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</row>
    <row r="92" spans="1:19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</row>
    <row r="93" spans="1:19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</row>
    <row r="94" spans="1:19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</row>
    <row r="95" spans="1:19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</row>
    <row r="96" spans="1:19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</row>
    <row r="97" spans="1:19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</row>
    <row r="98" spans="1:19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</row>
    <row r="99" spans="1:1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</row>
    <row r="100" spans="1:19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</row>
    <row r="101" spans="1:19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</row>
    <row r="102" spans="1:19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</row>
    <row r="103" spans="1:19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</row>
    <row r="104" spans="1:19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</row>
    <row r="105" spans="1:19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</row>
    <row r="106" spans="1:19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</row>
    <row r="107" spans="1:19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</row>
    <row r="108" spans="1:19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</row>
    <row r="109" spans="1:1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</row>
  </sheetData>
  <mergeCells count="1">
    <mergeCell ref="A2:J2"/>
  </mergeCells>
  <conditionalFormatting sqref="C3">
    <cfRule type="cellIs" dxfId="2" priority="1" operator="equal">
      <formula>0</formula>
    </cfRule>
  </conditionalFormatting>
  <conditionalFormatting sqref="I24:I35">
    <cfRule type="containsText" dxfId="1" priority="2" operator="containsText" text="opps">
      <formula>NOT(ISERROR(SEARCH(("opps"),(I24))))</formula>
    </cfRule>
  </conditionalFormatting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S111"/>
  <sheetViews>
    <sheetView workbookViewId="0"/>
  </sheetViews>
  <sheetFormatPr defaultColWidth="14.42578125" defaultRowHeight="12.75" customHeight="1"/>
  <cols>
    <col min="1" max="3" width="17.28515625" customWidth="1"/>
    <col min="4" max="4" width="12.85546875" customWidth="1"/>
    <col min="5" max="5" width="17.28515625" customWidth="1"/>
    <col min="6" max="6" width="19.140625" customWidth="1"/>
    <col min="7" max="7" width="17.28515625" customWidth="1"/>
    <col min="8" max="8" width="19.42578125" customWidth="1"/>
    <col min="9" max="9" width="19.5703125" customWidth="1"/>
    <col min="10" max="10" width="11" customWidth="1"/>
    <col min="11" max="19" width="17.28515625" customWidth="1"/>
  </cols>
  <sheetData>
    <row r="2" spans="1:19" ht="12.75" customHeight="1">
      <c r="A2" s="460" t="s">
        <v>131</v>
      </c>
      <c r="B2" s="461"/>
      <c r="C2" s="461"/>
      <c r="D2" s="461"/>
      <c r="E2" s="461"/>
      <c r="F2" s="461"/>
      <c r="G2" s="461"/>
      <c r="H2" s="461"/>
      <c r="I2" s="461"/>
      <c r="J2" s="461"/>
    </row>
    <row r="3" spans="1:19" ht="12.75" customHeight="1">
      <c r="B3" s="86">
        <f t="shared" ref="B3:B4" si="0">A20*B$17/B$12</f>
        <v>3.082275390625</v>
      </c>
      <c r="C3" s="109" t="s">
        <v>606</v>
      </c>
      <c r="D3" s="10" t="s">
        <v>132</v>
      </c>
      <c r="E3" s="10" t="s">
        <v>77</v>
      </c>
      <c r="G3" s="10">
        <v>3030</v>
      </c>
    </row>
    <row r="4" spans="1:19" ht="12.75" customHeight="1">
      <c r="B4" s="86">
        <f t="shared" si="0"/>
        <v>3.306070963541667</v>
      </c>
      <c r="D4" s="110" t="s">
        <v>610</v>
      </c>
      <c r="E4" s="110">
        <f>D4+B18</f>
        <v>2949.6</v>
      </c>
      <c r="G4" s="10">
        <v>3250</v>
      </c>
    </row>
    <row r="5" spans="1:19" ht="12.75" customHeight="1">
      <c r="G5" s="10">
        <v>3400</v>
      </c>
    </row>
    <row r="6" spans="1:19" ht="12.75" customHeight="1">
      <c r="G6" s="10">
        <v>3850</v>
      </c>
    </row>
    <row r="8" spans="1:19" ht="12.75" customHeight="1">
      <c r="A8" s="90" t="s">
        <v>96</v>
      </c>
      <c r="B8" s="90" t="s">
        <v>97</v>
      </c>
      <c r="C8" s="91">
        <f>LCM(B14*1000000,B19*1000000)/1000000</f>
        <v>122.88</v>
      </c>
      <c r="F8" s="90" t="s">
        <v>96</v>
      </c>
      <c r="G8" s="90" t="s">
        <v>97</v>
      </c>
      <c r="H8" s="91">
        <f>LCM(G14*1000000,G19*1000000)/1000000</f>
        <v>26214399.84</v>
      </c>
    </row>
    <row r="9" spans="1:19" ht="12.75" customHeight="1">
      <c r="A9" s="90" t="s">
        <v>99</v>
      </c>
      <c r="B9" s="90" t="s">
        <v>100</v>
      </c>
      <c r="C9" s="91">
        <f>C8/B19</f>
        <v>256</v>
      </c>
      <c r="F9" s="90" t="s">
        <v>99</v>
      </c>
      <c r="G9" s="90" t="s">
        <v>100</v>
      </c>
      <c r="H9" s="91">
        <f>H8/G19</f>
        <v>54613333</v>
      </c>
    </row>
    <row r="10" spans="1:19" ht="12.75" customHeight="1">
      <c r="A10" s="90" t="s">
        <v>106</v>
      </c>
      <c r="B10" s="90" t="s">
        <v>100</v>
      </c>
      <c r="C10" s="91">
        <f>C9*B17</f>
        <v>256</v>
      </c>
      <c r="D10" s="86" t="s">
        <v>611</v>
      </c>
      <c r="F10" s="90" t="s">
        <v>106</v>
      </c>
      <c r="G10" s="90" t="s">
        <v>100</v>
      </c>
      <c r="H10" s="91">
        <f>H9*G17</f>
        <v>54613333</v>
      </c>
      <c r="I10" s="86" t="s">
        <v>612</v>
      </c>
    </row>
    <row r="11" spans="1:19" ht="12.75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0"/>
      <c r="O11" s="20"/>
      <c r="P11" s="20"/>
      <c r="Q11" s="20"/>
      <c r="R11" s="20"/>
      <c r="S11" s="20"/>
    </row>
    <row r="12" spans="1:19" ht="12.75" customHeight="1">
      <c r="A12" s="2" t="s">
        <v>133</v>
      </c>
      <c r="B12" s="111">
        <v>983.04</v>
      </c>
      <c r="C12" s="3" t="s">
        <v>134</v>
      </c>
      <c r="D12" s="20"/>
      <c r="E12" s="112"/>
      <c r="F12" s="2" t="s">
        <v>133</v>
      </c>
      <c r="G12" s="111">
        <v>983.04</v>
      </c>
      <c r="H12" s="3" t="s">
        <v>134</v>
      </c>
      <c r="I12" s="20"/>
      <c r="J12" s="20"/>
      <c r="K12" s="20"/>
      <c r="M12" s="20"/>
      <c r="N12" s="20"/>
      <c r="O12" s="20"/>
      <c r="P12" s="20"/>
      <c r="Q12" s="20"/>
      <c r="R12" s="20"/>
      <c r="S12" s="20"/>
    </row>
    <row r="13" spans="1:19" ht="12.75" customHeight="1">
      <c r="A13" s="2" t="s">
        <v>136</v>
      </c>
      <c r="B13" s="111">
        <v>8</v>
      </c>
      <c r="C13" s="3" t="s">
        <v>162</v>
      </c>
      <c r="D13" s="112"/>
      <c r="E13" s="112"/>
      <c r="F13" s="2" t="s">
        <v>136</v>
      </c>
      <c r="G13" s="111">
        <v>9</v>
      </c>
      <c r="H13" s="3" t="s">
        <v>163</v>
      </c>
      <c r="I13" s="112"/>
      <c r="J13" s="20"/>
      <c r="K13" s="20"/>
      <c r="L13" s="20"/>
      <c r="M13" s="20"/>
      <c r="N13" s="20"/>
      <c r="O13" s="20"/>
      <c r="P13" s="20"/>
      <c r="Q13" s="20"/>
      <c r="R13" s="20"/>
      <c r="S13" s="20"/>
    </row>
    <row r="14" spans="1:19" ht="12.75" customHeight="1">
      <c r="A14" s="2" t="s">
        <v>137</v>
      </c>
      <c r="B14" s="113">
        <f>B12/B13</f>
        <v>122.88</v>
      </c>
      <c r="C14" s="20"/>
      <c r="D14" s="20"/>
      <c r="E14" s="20"/>
      <c r="F14" s="2" t="s">
        <v>137</v>
      </c>
      <c r="G14" s="113">
        <f>G12/G13</f>
        <v>109.22666666666666</v>
      </c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</row>
    <row r="15" spans="1:19" ht="12.75" customHeight="1">
      <c r="A15" s="2" t="s">
        <v>139</v>
      </c>
      <c r="B15" s="114" t="str">
        <f>D10</f>
        <v>256</v>
      </c>
      <c r="C15" s="112"/>
      <c r="D15" s="112"/>
      <c r="E15" s="112"/>
      <c r="F15" s="2" t="s">
        <v>139</v>
      </c>
      <c r="G15" s="114" t="str">
        <f>I10</f>
        <v>228</v>
      </c>
      <c r="H15" s="112"/>
      <c r="I15" s="112"/>
      <c r="J15" s="20"/>
      <c r="K15" s="20"/>
      <c r="L15" s="20"/>
      <c r="M15" s="20"/>
      <c r="N15" s="20"/>
      <c r="O15" s="20"/>
      <c r="P15" s="20"/>
      <c r="Q15" s="20"/>
      <c r="R15" s="20"/>
      <c r="S15" s="20"/>
    </row>
    <row r="16" spans="1:19" ht="12.75" customHeight="1">
      <c r="A16" s="2" t="s">
        <v>141</v>
      </c>
      <c r="B16" s="115">
        <v>0</v>
      </c>
      <c r="C16" s="2" t="s">
        <v>142</v>
      </c>
      <c r="D16" s="20"/>
      <c r="E16" s="20"/>
      <c r="F16" s="2" t="s">
        <v>141</v>
      </c>
      <c r="G16" s="115">
        <v>0</v>
      </c>
      <c r="H16" s="2" t="s">
        <v>142</v>
      </c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</row>
    <row r="17" spans="1:19" ht="12.75" customHeight="1">
      <c r="A17" s="2" t="s">
        <v>143</v>
      </c>
      <c r="B17" s="113">
        <f>IF(A20&gt;=3000,1,IF(A20&gt;=1500,2,IF(A20&gt;=750,4,IF(A20&gt;=375,8,IF(A20&gt;=187.5,16,IF(A20&gt;=93.75,32,IF(A20&gt;=46.875,64,128)))))))</f>
        <v>1</v>
      </c>
      <c r="C17" s="20"/>
      <c r="D17" s="20"/>
      <c r="E17" s="20"/>
      <c r="F17" s="2" t="s">
        <v>143</v>
      </c>
      <c r="G17" s="113">
        <f>IF(F20&gt;=3000,1,IF(F20&gt;=1500,2,IF(F20&gt;=750,4,IF(F20&gt;=375,8,IF(F20&gt;=187.5,16,IF(F20&gt;=93.75,32,IF(F20&gt;=46.875,64,128)))))))</f>
        <v>1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</row>
    <row r="18" spans="1:19" ht="12.75" customHeight="1">
      <c r="A18" s="2" t="s">
        <v>144</v>
      </c>
      <c r="B18" s="116">
        <v>0.48</v>
      </c>
      <c r="C18" s="2" t="s">
        <v>145</v>
      </c>
      <c r="D18" s="20"/>
      <c r="E18" s="20"/>
      <c r="F18" s="2" t="s">
        <v>144</v>
      </c>
      <c r="G18" s="113">
        <f>B18</f>
        <v>0.48</v>
      </c>
      <c r="H18" s="2" t="s">
        <v>164</v>
      </c>
      <c r="I18" s="119">
        <f>G14/I10</f>
        <v>0.47906432748538008</v>
      </c>
      <c r="J18" s="20"/>
      <c r="K18" s="20"/>
      <c r="L18" s="20"/>
      <c r="M18" s="20"/>
      <c r="N18" s="20"/>
      <c r="O18" s="20"/>
      <c r="P18" s="20"/>
      <c r="Q18" s="20"/>
      <c r="R18" s="20"/>
      <c r="S18" s="20"/>
    </row>
    <row r="19" spans="1:19" ht="12.75" customHeight="1">
      <c r="A19" s="2" t="s">
        <v>146</v>
      </c>
      <c r="B19" s="113">
        <f>B18*B17</f>
        <v>0.48</v>
      </c>
      <c r="C19" s="20"/>
      <c r="D19" s="20"/>
      <c r="E19" s="20"/>
      <c r="F19" s="2" t="s">
        <v>146</v>
      </c>
      <c r="G19" s="113">
        <f>G18*G17</f>
        <v>0.48</v>
      </c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</row>
    <row r="20" spans="1:19" ht="12.75" customHeight="1">
      <c r="A20" s="116">
        <v>3030</v>
      </c>
      <c r="B20" s="53">
        <f t="shared" ref="B20:B21" si="1">B$17*$A20/B$14</f>
        <v>24.658203125</v>
      </c>
      <c r="C20" s="2" t="s">
        <v>147</v>
      </c>
      <c r="D20" s="20"/>
      <c r="E20" s="20"/>
      <c r="F20" s="113">
        <f t="shared" ref="F20:F21" si="2">A20</f>
        <v>3030</v>
      </c>
      <c r="G20" s="53">
        <f t="shared" ref="G20:G21" si="3">G$17*$A20/G$14</f>
        <v>27.740478515625004</v>
      </c>
      <c r="H20" s="2" t="s">
        <v>147</v>
      </c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</row>
    <row r="21" spans="1:19" ht="12.75" customHeight="1">
      <c r="A21" s="116">
        <v>3250</v>
      </c>
      <c r="B21" s="53">
        <f t="shared" si="1"/>
        <v>26.448567708333336</v>
      </c>
      <c r="C21" s="2" t="s">
        <v>149</v>
      </c>
      <c r="D21" s="20"/>
      <c r="E21" s="20"/>
      <c r="F21" s="113">
        <f t="shared" si="2"/>
        <v>3250</v>
      </c>
      <c r="G21" s="53">
        <f t="shared" si="3"/>
        <v>29.754638671875004</v>
      </c>
      <c r="H21" s="2" t="s">
        <v>149</v>
      </c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</row>
    <row r="22" spans="1:19" ht="12.75" customHeight="1">
      <c r="A22" s="2" t="s">
        <v>150</v>
      </c>
      <c r="B22" s="113">
        <f>B19/(B14/B15)</f>
        <v>1</v>
      </c>
      <c r="C22" s="20"/>
      <c r="D22" s="20"/>
      <c r="E22" s="20"/>
      <c r="F22" s="2" t="s">
        <v>150</v>
      </c>
      <c r="G22" s="113">
        <f>G19/(G14/G15)</f>
        <v>1.001953125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</row>
    <row r="23" spans="1:19" ht="12.75" customHeight="1">
      <c r="A23" s="2" t="s">
        <v>165</v>
      </c>
      <c r="B23" s="116">
        <v>20</v>
      </c>
      <c r="C23" s="2" t="s">
        <v>166</v>
      </c>
      <c r="D23" s="53">
        <f>B23*B18</f>
        <v>9.6</v>
      </c>
      <c r="E23" s="20"/>
      <c r="F23" s="2" t="s">
        <v>167</v>
      </c>
      <c r="G23" s="53">
        <f>B23</f>
        <v>20</v>
      </c>
      <c r="H23" s="2" t="s">
        <v>166</v>
      </c>
      <c r="I23" s="53">
        <f>G23*G18</f>
        <v>9.6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</row>
    <row r="24" spans="1:19" ht="12.75" customHeight="1">
      <c r="A24" s="3" t="s">
        <v>153</v>
      </c>
      <c r="B24" s="2" t="s">
        <v>154</v>
      </c>
      <c r="C24" s="2" t="s">
        <v>155</v>
      </c>
      <c r="D24" s="2" t="s">
        <v>77</v>
      </c>
      <c r="E24" s="20"/>
      <c r="F24" s="3" t="s">
        <v>153</v>
      </c>
      <c r="G24" s="2" t="s">
        <v>154</v>
      </c>
      <c r="H24" s="2" t="s">
        <v>155</v>
      </c>
      <c r="I24" s="2" t="s">
        <v>77</v>
      </c>
      <c r="J24" s="20"/>
      <c r="K24" s="20"/>
      <c r="L24" s="53" t="str">
        <f>C13</f>
        <v>Fcomp1</v>
      </c>
      <c r="M24" s="2" t="s">
        <v>163</v>
      </c>
      <c r="N24" s="2" t="s">
        <v>168</v>
      </c>
      <c r="O24" s="20"/>
      <c r="P24" s="20"/>
      <c r="Q24" s="20"/>
      <c r="R24" s="20"/>
      <c r="S24" s="20"/>
    </row>
    <row r="25" spans="1:19" ht="12.75" customHeight="1">
      <c r="A25" s="113">
        <f>A26-1</f>
        <v>24</v>
      </c>
      <c r="B25" s="53">
        <f>B27</f>
        <v>236</v>
      </c>
      <c r="C25" s="53">
        <f t="shared" ref="C25:C53" si="4">IF(A25="","",$B$14*(A25+B25/$B$15)/$B$17)</f>
        <v>3062.4</v>
      </c>
      <c r="D25" s="20"/>
      <c r="E25" s="20"/>
      <c r="F25" s="113">
        <f>F26-1</f>
        <v>27</v>
      </c>
      <c r="G25" s="53">
        <f>G27</f>
        <v>208</v>
      </c>
      <c r="H25" s="53">
        <f t="shared" ref="H25:H53" si="5">IF(F25="","",$G$14*(F25+G25/$G$15)/$G$17)</f>
        <v>3048.765380116959</v>
      </c>
      <c r="I25" s="20"/>
      <c r="J25" s="20"/>
      <c r="K25" s="53">
        <f t="shared" ref="K25:K37" si="6">C25</f>
        <v>3062.4</v>
      </c>
      <c r="L25" s="2">
        <v>0.7</v>
      </c>
      <c r="M25" s="20"/>
      <c r="N25" s="20"/>
      <c r="O25" s="20"/>
      <c r="P25" s="20"/>
      <c r="Q25" s="20"/>
      <c r="R25" s="20"/>
      <c r="S25" s="20"/>
    </row>
    <row r="26" spans="1:19" ht="12.75" customHeight="1">
      <c r="A26" s="113">
        <f>ROUNDUP(B20,0)</f>
        <v>25</v>
      </c>
      <c r="B26" s="53">
        <f>B23</f>
        <v>20</v>
      </c>
      <c r="C26" s="53">
        <f t="shared" si="4"/>
        <v>3081.6</v>
      </c>
      <c r="D26" s="53">
        <f>(B26/B15)*B14*1000</f>
        <v>9600</v>
      </c>
      <c r="E26" s="20"/>
      <c r="F26" s="113">
        <f>ROUNDUP(G20,0)</f>
        <v>28</v>
      </c>
      <c r="G26" s="53">
        <f>G23</f>
        <v>20</v>
      </c>
      <c r="H26" s="53">
        <f t="shared" si="5"/>
        <v>3067.9279532163741</v>
      </c>
      <c r="I26" s="53">
        <f>(G26/G15)*G14*1000</f>
        <v>9581.2865497076</v>
      </c>
      <c r="J26" s="20"/>
      <c r="K26" s="53">
        <f t="shared" si="6"/>
        <v>3081.6</v>
      </c>
      <c r="L26" s="53">
        <f t="shared" ref="L26:L35" si="7">L25</f>
        <v>0.7</v>
      </c>
      <c r="M26" s="20"/>
      <c r="N26" s="20"/>
      <c r="O26" s="20"/>
      <c r="P26" s="20"/>
      <c r="Q26" s="20"/>
      <c r="R26" s="20"/>
      <c r="S26" s="20"/>
    </row>
    <row r="27" spans="1:19" ht="12.75" customHeight="1">
      <c r="A27" s="113">
        <f>A26</f>
        <v>25</v>
      </c>
      <c r="B27" s="53">
        <f>B$15-B26</f>
        <v>236</v>
      </c>
      <c r="C27" s="53">
        <f t="shared" si="4"/>
        <v>3185.2799999999997</v>
      </c>
      <c r="D27" s="20"/>
      <c r="E27" s="20"/>
      <c r="F27" s="113">
        <f>F26</f>
        <v>28</v>
      </c>
      <c r="G27" s="53">
        <f>G$15-G26</f>
        <v>208</v>
      </c>
      <c r="H27" s="53">
        <f t="shared" si="5"/>
        <v>3157.9920467836255</v>
      </c>
      <c r="I27" s="20"/>
      <c r="J27" s="20"/>
      <c r="K27" s="53">
        <f t="shared" si="6"/>
        <v>3185.2799999999997</v>
      </c>
      <c r="L27" s="53">
        <f t="shared" si="7"/>
        <v>0.7</v>
      </c>
      <c r="M27" s="20"/>
      <c r="N27" s="20"/>
      <c r="O27" s="20"/>
      <c r="P27" s="20"/>
      <c r="Q27" s="20"/>
      <c r="R27" s="20"/>
      <c r="S27" s="20"/>
    </row>
    <row r="28" spans="1:19" ht="12.75" customHeight="1">
      <c r="A28" s="113" t="s">
        <v>613</v>
      </c>
      <c r="B28" s="53">
        <f t="shared" ref="B28:B53" si="8">B26</f>
        <v>20</v>
      </c>
      <c r="C28" s="53">
        <f t="shared" si="4"/>
        <v>3204.48</v>
      </c>
      <c r="D28" s="20"/>
      <c r="E28" s="20"/>
      <c r="F28" s="113" t="s">
        <v>614</v>
      </c>
      <c r="G28" s="53">
        <f t="shared" ref="G28:G53" si="9">G26</f>
        <v>20</v>
      </c>
      <c r="H28" s="53">
        <f t="shared" si="5"/>
        <v>3177.1546198830406</v>
      </c>
      <c r="I28" s="20"/>
      <c r="J28" s="20"/>
      <c r="K28" s="53">
        <f t="shared" si="6"/>
        <v>3204.48</v>
      </c>
      <c r="L28" s="53">
        <f t="shared" si="7"/>
        <v>0.7</v>
      </c>
      <c r="M28" s="20"/>
      <c r="N28" s="20"/>
      <c r="O28" s="20"/>
      <c r="P28" s="20"/>
      <c r="Q28" s="20"/>
      <c r="R28" s="20"/>
      <c r="S28" s="20"/>
    </row>
    <row r="29" spans="1:19" ht="12.75" customHeight="1">
      <c r="A29" s="113" t="str">
        <f>IF(A28="","",A28)</f>
        <v>26</v>
      </c>
      <c r="B29" s="53">
        <f t="shared" si="8"/>
        <v>236</v>
      </c>
      <c r="C29" s="53">
        <f t="shared" si="4"/>
        <v>3308.16</v>
      </c>
      <c r="D29" s="20"/>
      <c r="E29" s="20"/>
      <c r="F29" s="113" t="str">
        <f>IF(F28="","",F28)</f>
        <v>29</v>
      </c>
      <c r="G29" s="53">
        <f t="shared" si="9"/>
        <v>208</v>
      </c>
      <c r="H29" s="53">
        <f t="shared" si="5"/>
        <v>3267.2187134502924</v>
      </c>
      <c r="I29" s="20"/>
      <c r="J29" s="20"/>
      <c r="K29" s="53">
        <f t="shared" si="6"/>
        <v>3308.16</v>
      </c>
      <c r="L29" s="53">
        <f t="shared" si="7"/>
        <v>0.7</v>
      </c>
      <c r="M29" s="20"/>
      <c r="N29" s="20"/>
      <c r="O29" s="20"/>
      <c r="P29" s="20"/>
      <c r="Q29" s="20"/>
      <c r="R29" s="20"/>
      <c r="S29" s="20"/>
    </row>
    <row r="30" spans="1:19" ht="12.75" customHeight="1">
      <c r="A30" s="113" t="s">
        <v>609</v>
      </c>
      <c r="B30" s="53">
        <f t="shared" si="8"/>
        <v>20</v>
      </c>
      <c r="C30" s="53" t="str">
        <f t="shared" si="4"/>
        <v/>
      </c>
      <c r="D30" s="20"/>
      <c r="E30" s="20"/>
      <c r="F30" s="113" t="s">
        <v>609</v>
      </c>
      <c r="G30" s="53">
        <f t="shared" si="9"/>
        <v>20</v>
      </c>
      <c r="H30" s="53" t="str">
        <f t="shared" si="5"/>
        <v/>
      </c>
      <c r="I30" s="20"/>
      <c r="J30" s="20"/>
      <c r="K30" s="53" t="str">
        <f t="shared" si="6"/>
        <v/>
      </c>
      <c r="L30" s="53">
        <f t="shared" si="7"/>
        <v>0.7</v>
      </c>
      <c r="M30" s="20"/>
      <c r="N30" s="20"/>
      <c r="O30" s="20"/>
      <c r="P30" s="20"/>
      <c r="Q30" s="20"/>
      <c r="R30" s="20"/>
      <c r="S30" s="20"/>
    </row>
    <row r="31" spans="1:19" ht="12.75" customHeight="1">
      <c r="A31" s="113" t="str">
        <f>IF(A30="","",A30)</f>
        <v/>
      </c>
      <c r="B31" s="53">
        <f t="shared" si="8"/>
        <v>236</v>
      </c>
      <c r="C31" s="53" t="str">
        <f t="shared" si="4"/>
        <v/>
      </c>
      <c r="D31" s="20"/>
      <c r="E31" s="20"/>
      <c r="F31" s="113" t="str">
        <f>IF(F30="","",F30)</f>
        <v/>
      </c>
      <c r="G31" s="53">
        <f t="shared" si="9"/>
        <v>208</v>
      </c>
      <c r="H31" s="53" t="str">
        <f t="shared" si="5"/>
        <v/>
      </c>
      <c r="I31" s="20"/>
      <c r="J31" s="20"/>
      <c r="K31" s="53" t="str">
        <f t="shared" si="6"/>
        <v/>
      </c>
      <c r="L31" s="53">
        <f t="shared" si="7"/>
        <v>0.7</v>
      </c>
      <c r="M31" s="20"/>
      <c r="N31" s="20"/>
      <c r="O31" s="20"/>
      <c r="P31" s="20"/>
      <c r="Q31" s="20"/>
      <c r="R31" s="20"/>
      <c r="S31" s="20"/>
    </row>
    <row r="32" spans="1:19" ht="12.75" customHeight="1">
      <c r="A32" s="113" t="s">
        <v>609</v>
      </c>
      <c r="B32" s="53">
        <f t="shared" si="8"/>
        <v>20</v>
      </c>
      <c r="C32" s="53" t="str">
        <f t="shared" si="4"/>
        <v/>
      </c>
      <c r="D32" s="20"/>
      <c r="E32" s="20"/>
      <c r="F32" s="113" t="s">
        <v>609</v>
      </c>
      <c r="G32" s="53">
        <f t="shared" si="9"/>
        <v>20</v>
      </c>
      <c r="H32" s="53" t="str">
        <f t="shared" si="5"/>
        <v/>
      </c>
      <c r="I32" s="20"/>
      <c r="J32" s="20"/>
      <c r="K32" s="53" t="str">
        <f t="shared" si="6"/>
        <v/>
      </c>
      <c r="L32" s="53">
        <f t="shared" si="7"/>
        <v>0.7</v>
      </c>
      <c r="M32" s="20"/>
      <c r="N32" s="20"/>
      <c r="O32" s="20"/>
      <c r="P32" s="20"/>
      <c r="Q32" s="20"/>
      <c r="R32" s="20"/>
      <c r="S32" s="20"/>
    </row>
    <row r="33" spans="1:19" ht="12.75" customHeight="1">
      <c r="A33" s="113" t="str">
        <f>IF(A32="","",A32)</f>
        <v/>
      </c>
      <c r="B33" s="53">
        <f t="shared" si="8"/>
        <v>236</v>
      </c>
      <c r="C33" s="53" t="str">
        <f t="shared" si="4"/>
        <v/>
      </c>
      <c r="D33" s="20"/>
      <c r="E33" s="20"/>
      <c r="F33" s="113" t="str">
        <f>IF(F32="","",F32)</f>
        <v/>
      </c>
      <c r="G33" s="53">
        <f t="shared" si="9"/>
        <v>208</v>
      </c>
      <c r="H33" s="53" t="str">
        <f t="shared" si="5"/>
        <v/>
      </c>
      <c r="I33" s="20"/>
      <c r="J33" s="20"/>
      <c r="K33" s="53" t="str">
        <f t="shared" si="6"/>
        <v/>
      </c>
      <c r="L33" s="53">
        <f t="shared" si="7"/>
        <v>0.7</v>
      </c>
      <c r="M33" s="20"/>
      <c r="N33" s="20"/>
      <c r="O33" s="20"/>
      <c r="P33" s="20"/>
      <c r="Q33" s="20"/>
      <c r="R33" s="20"/>
      <c r="S33" s="20"/>
    </row>
    <row r="34" spans="1:19" ht="12.75" customHeight="1">
      <c r="A34" s="113" t="s">
        <v>609</v>
      </c>
      <c r="B34" s="53">
        <f t="shared" si="8"/>
        <v>20</v>
      </c>
      <c r="C34" s="53" t="str">
        <f t="shared" si="4"/>
        <v/>
      </c>
      <c r="D34" s="20"/>
      <c r="E34" s="20"/>
      <c r="F34" s="113" t="s">
        <v>609</v>
      </c>
      <c r="G34" s="53">
        <f t="shared" si="9"/>
        <v>20</v>
      </c>
      <c r="H34" s="53" t="str">
        <f t="shared" si="5"/>
        <v/>
      </c>
      <c r="I34" s="20"/>
      <c r="J34" s="20"/>
      <c r="K34" s="53" t="str">
        <f t="shared" si="6"/>
        <v/>
      </c>
      <c r="L34" s="53">
        <f t="shared" si="7"/>
        <v>0.7</v>
      </c>
      <c r="M34" s="20"/>
      <c r="N34" s="20"/>
      <c r="O34" s="20"/>
      <c r="P34" s="20"/>
      <c r="Q34" s="20"/>
      <c r="R34" s="20"/>
      <c r="S34" s="20"/>
    </row>
    <row r="35" spans="1:19" ht="12.75" customHeight="1">
      <c r="A35" s="113" t="str">
        <f>IF(A34="","",A34)</f>
        <v/>
      </c>
      <c r="B35" s="53">
        <f t="shared" si="8"/>
        <v>236</v>
      </c>
      <c r="C35" s="53" t="str">
        <f t="shared" si="4"/>
        <v/>
      </c>
      <c r="D35" s="20"/>
      <c r="E35" s="20"/>
      <c r="F35" s="113" t="str">
        <f>IF(F34="","",F34)</f>
        <v/>
      </c>
      <c r="G35" s="53">
        <f t="shared" si="9"/>
        <v>208</v>
      </c>
      <c r="H35" s="53" t="str">
        <f t="shared" si="5"/>
        <v/>
      </c>
      <c r="I35" s="20"/>
      <c r="J35" s="20"/>
      <c r="K35" s="53" t="str">
        <f t="shared" si="6"/>
        <v/>
      </c>
      <c r="L35" s="53">
        <f t="shared" si="7"/>
        <v>0.7</v>
      </c>
      <c r="M35" s="20"/>
      <c r="N35" s="20"/>
      <c r="O35" s="20"/>
      <c r="P35" s="20"/>
      <c r="Q35" s="20"/>
      <c r="R35" s="20"/>
      <c r="S35" s="20"/>
    </row>
    <row r="36" spans="1:19" ht="12.75" customHeight="1">
      <c r="A36" s="113" t="s">
        <v>609</v>
      </c>
      <c r="B36" s="53">
        <f t="shared" si="8"/>
        <v>20</v>
      </c>
      <c r="C36" s="53" t="str">
        <f t="shared" si="4"/>
        <v/>
      </c>
      <c r="D36" s="20"/>
      <c r="E36" s="20"/>
      <c r="F36" s="113" t="s">
        <v>609</v>
      </c>
      <c r="G36" s="53">
        <f t="shared" si="9"/>
        <v>20</v>
      </c>
      <c r="H36" s="53" t="str">
        <f t="shared" si="5"/>
        <v/>
      </c>
      <c r="I36" s="20"/>
      <c r="J36" s="20"/>
      <c r="K36" s="53" t="str">
        <f t="shared" si="6"/>
        <v/>
      </c>
      <c r="L36" s="118"/>
      <c r="M36" s="20"/>
      <c r="N36" s="20"/>
      <c r="O36" s="20"/>
      <c r="P36" s="20"/>
      <c r="Q36" s="20"/>
      <c r="R36" s="20"/>
      <c r="S36" s="20"/>
    </row>
    <row r="37" spans="1:19" ht="12.75" customHeight="1">
      <c r="A37" s="113" t="str">
        <f>IF(A36="","",A36)</f>
        <v/>
      </c>
      <c r="B37" s="53">
        <f t="shared" si="8"/>
        <v>236</v>
      </c>
      <c r="C37" s="53" t="str">
        <f t="shared" si="4"/>
        <v/>
      </c>
      <c r="D37" s="20"/>
      <c r="E37" s="20"/>
      <c r="F37" s="113" t="str">
        <f>IF(F36="","",F36)</f>
        <v/>
      </c>
      <c r="G37" s="53">
        <f t="shared" si="9"/>
        <v>208</v>
      </c>
      <c r="H37" s="53" t="str">
        <f t="shared" si="5"/>
        <v/>
      </c>
      <c r="I37" s="20"/>
      <c r="J37" s="20"/>
      <c r="K37" s="53" t="str">
        <f t="shared" si="6"/>
        <v/>
      </c>
      <c r="L37" s="20"/>
      <c r="M37" s="20"/>
      <c r="N37" s="20"/>
      <c r="O37" s="20"/>
      <c r="P37" s="20"/>
      <c r="Q37" s="20"/>
      <c r="R37" s="20"/>
      <c r="S37" s="20"/>
    </row>
    <row r="38" spans="1:19" ht="12.75" customHeight="1">
      <c r="A38" s="113" t="s">
        <v>609</v>
      </c>
      <c r="B38" s="53">
        <f t="shared" si="8"/>
        <v>20</v>
      </c>
      <c r="C38" s="53" t="str">
        <f t="shared" si="4"/>
        <v/>
      </c>
      <c r="D38" s="20"/>
      <c r="E38" s="20"/>
      <c r="F38" s="113" t="s">
        <v>609</v>
      </c>
      <c r="G38" s="53">
        <f t="shared" si="9"/>
        <v>20</v>
      </c>
      <c r="H38" s="53" t="str">
        <f t="shared" si="5"/>
        <v/>
      </c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</row>
    <row r="39" spans="1:19" ht="12.75" customHeight="1">
      <c r="A39" s="113" t="str">
        <f>IF(A38="","",A38)</f>
        <v/>
      </c>
      <c r="B39" s="53">
        <f t="shared" si="8"/>
        <v>236</v>
      </c>
      <c r="C39" s="53" t="str">
        <f t="shared" si="4"/>
        <v/>
      </c>
      <c r="D39" s="20"/>
      <c r="E39" s="20"/>
      <c r="F39" s="113" t="str">
        <f>IF(F38="","",F38)</f>
        <v/>
      </c>
      <c r="G39" s="53">
        <f t="shared" si="9"/>
        <v>208</v>
      </c>
      <c r="H39" s="53" t="str">
        <f t="shared" si="5"/>
        <v/>
      </c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</row>
    <row r="40" spans="1:19" ht="12.75" customHeight="1">
      <c r="A40" s="113" t="s">
        <v>609</v>
      </c>
      <c r="B40" s="53">
        <f t="shared" si="8"/>
        <v>20</v>
      </c>
      <c r="C40" s="53" t="str">
        <f t="shared" si="4"/>
        <v/>
      </c>
      <c r="D40" s="20"/>
      <c r="E40" s="20"/>
      <c r="F40" s="113" t="s">
        <v>609</v>
      </c>
      <c r="G40" s="53">
        <f t="shared" si="9"/>
        <v>20</v>
      </c>
      <c r="H40" s="53" t="str">
        <f t="shared" si="5"/>
        <v/>
      </c>
      <c r="I40" s="20"/>
      <c r="J40" s="20"/>
      <c r="K40" s="53">
        <f t="shared" ref="K40:K53" si="10">H25</f>
        <v>3048.765380116959</v>
      </c>
      <c r="L40" s="20"/>
      <c r="M40" s="2">
        <v>0.9</v>
      </c>
      <c r="N40" s="20"/>
      <c r="O40" s="20"/>
      <c r="P40" s="20"/>
      <c r="Q40" s="20"/>
      <c r="R40" s="20"/>
      <c r="S40" s="20"/>
    </row>
    <row r="41" spans="1:19" ht="12.75" customHeight="1">
      <c r="A41" s="113" t="str">
        <f>IF(A40="","",A40)</f>
        <v/>
      </c>
      <c r="B41" s="53">
        <f t="shared" si="8"/>
        <v>236</v>
      </c>
      <c r="C41" s="53" t="str">
        <f t="shared" si="4"/>
        <v/>
      </c>
      <c r="D41" s="20"/>
      <c r="E41" s="20"/>
      <c r="F41" s="113" t="str">
        <f>IF(F40="","",F40)</f>
        <v/>
      </c>
      <c r="G41" s="53">
        <f t="shared" si="9"/>
        <v>208</v>
      </c>
      <c r="H41" s="53" t="str">
        <f t="shared" si="5"/>
        <v/>
      </c>
      <c r="I41" s="20"/>
      <c r="J41" s="20"/>
      <c r="K41" s="53">
        <f t="shared" si="10"/>
        <v>3067.9279532163741</v>
      </c>
      <c r="L41" s="20"/>
      <c r="M41" s="2">
        <v>0.9</v>
      </c>
      <c r="N41" s="20"/>
      <c r="O41" s="20"/>
      <c r="P41" s="20"/>
      <c r="Q41" s="20"/>
      <c r="R41" s="20"/>
      <c r="S41" s="20"/>
    </row>
    <row r="42" spans="1:19" ht="12.75" customHeight="1">
      <c r="A42" s="113" t="s">
        <v>609</v>
      </c>
      <c r="B42" s="53">
        <f t="shared" si="8"/>
        <v>20</v>
      </c>
      <c r="C42" s="53" t="str">
        <f t="shared" si="4"/>
        <v/>
      </c>
      <c r="D42" s="20"/>
      <c r="E42" s="20"/>
      <c r="F42" s="113" t="s">
        <v>609</v>
      </c>
      <c r="G42" s="53">
        <f t="shared" si="9"/>
        <v>20</v>
      </c>
      <c r="H42" s="53" t="str">
        <f t="shared" si="5"/>
        <v/>
      </c>
      <c r="I42" s="20"/>
      <c r="J42" s="20"/>
      <c r="K42" s="53">
        <f t="shared" si="10"/>
        <v>3157.9920467836255</v>
      </c>
      <c r="L42" s="20"/>
      <c r="M42" s="2">
        <v>0.9</v>
      </c>
      <c r="N42" s="20"/>
      <c r="O42" s="20"/>
      <c r="P42" s="20"/>
      <c r="Q42" s="20"/>
      <c r="R42" s="20"/>
      <c r="S42" s="20"/>
    </row>
    <row r="43" spans="1:19" ht="12.75" customHeight="1">
      <c r="A43" s="113" t="str">
        <f>IF(A42="","",A42)</f>
        <v/>
      </c>
      <c r="B43" s="53">
        <f t="shared" si="8"/>
        <v>236</v>
      </c>
      <c r="C43" s="53" t="str">
        <f t="shared" si="4"/>
        <v/>
      </c>
      <c r="D43" s="20"/>
      <c r="E43" s="20"/>
      <c r="F43" s="113" t="str">
        <f>IF(F42="","",F42)</f>
        <v/>
      </c>
      <c r="G43" s="53">
        <f t="shared" si="9"/>
        <v>208</v>
      </c>
      <c r="H43" s="53" t="str">
        <f t="shared" si="5"/>
        <v/>
      </c>
      <c r="I43" s="20"/>
      <c r="J43" s="20"/>
      <c r="K43" s="53">
        <f t="shared" si="10"/>
        <v>3177.1546198830406</v>
      </c>
      <c r="L43" s="20"/>
      <c r="M43" s="2">
        <v>0.9</v>
      </c>
      <c r="N43" s="20"/>
      <c r="O43" s="20"/>
      <c r="P43" s="20"/>
      <c r="Q43" s="20"/>
      <c r="R43" s="20"/>
      <c r="S43" s="20"/>
    </row>
    <row r="44" spans="1:19" ht="12.75" customHeight="1">
      <c r="A44" s="113" t="s">
        <v>609</v>
      </c>
      <c r="B44" s="53">
        <f t="shared" si="8"/>
        <v>20</v>
      </c>
      <c r="C44" s="53" t="str">
        <f t="shared" si="4"/>
        <v/>
      </c>
      <c r="D44" s="20"/>
      <c r="E44" s="20"/>
      <c r="F44" s="113" t="s">
        <v>609</v>
      </c>
      <c r="G44" s="53">
        <f t="shared" si="9"/>
        <v>20</v>
      </c>
      <c r="H44" s="53" t="str">
        <f t="shared" si="5"/>
        <v/>
      </c>
      <c r="I44" s="20"/>
      <c r="J44" s="20"/>
      <c r="K44" s="53">
        <f t="shared" si="10"/>
        <v>3267.2187134502924</v>
      </c>
      <c r="L44" s="20"/>
      <c r="M44" s="2">
        <v>0.9</v>
      </c>
      <c r="N44" s="20"/>
      <c r="O44" s="20"/>
      <c r="P44" s="20"/>
      <c r="Q44" s="20"/>
      <c r="R44" s="20"/>
      <c r="S44" s="20"/>
    </row>
    <row r="45" spans="1:19">
      <c r="A45" s="113" t="str">
        <f>IF(A44="","",A44)</f>
        <v/>
      </c>
      <c r="B45" s="53">
        <f t="shared" si="8"/>
        <v>236</v>
      </c>
      <c r="C45" s="53" t="str">
        <f t="shared" si="4"/>
        <v/>
      </c>
      <c r="D45" s="20"/>
      <c r="E45" s="20"/>
      <c r="F45" s="113" t="str">
        <f>IF(F44="","",F44)</f>
        <v/>
      </c>
      <c r="G45" s="53">
        <f t="shared" si="9"/>
        <v>208</v>
      </c>
      <c r="H45" s="53" t="str">
        <f t="shared" si="5"/>
        <v/>
      </c>
      <c r="I45" s="20"/>
      <c r="J45" s="20"/>
      <c r="K45" s="53" t="str">
        <f t="shared" si="10"/>
        <v/>
      </c>
      <c r="L45" s="20"/>
      <c r="M45" s="2">
        <v>0.9</v>
      </c>
      <c r="N45" s="20"/>
      <c r="O45" s="20"/>
      <c r="P45" s="20"/>
      <c r="Q45" s="20"/>
      <c r="R45" s="20"/>
      <c r="S45" s="20"/>
    </row>
    <row r="46" spans="1:19">
      <c r="A46" s="113" t="s">
        <v>609</v>
      </c>
      <c r="B46" s="53">
        <f t="shared" si="8"/>
        <v>20</v>
      </c>
      <c r="C46" s="53" t="str">
        <f t="shared" si="4"/>
        <v/>
      </c>
      <c r="D46" s="20"/>
      <c r="E46" s="20"/>
      <c r="F46" s="113" t="s">
        <v>609</v>
      </c>
      <c r="G46" s="53">
        <f t="shared" si="9"/>
        <v>20</v>
      </c>
      <c r="H46" s="53" t="str">
        <f t="shared" si="5"/>
        <v/>
      </c>
      <c r="I46" s="20"/>
      <c r="J46" s="20"/>
      <c r="K46" s="53" t="str">
        <f t="shared" si="10"/>
        <v/>
      </c>
      <c r="L46" s="20"/>
      <c r="M46" s="2">
        <v>0.9</v>
      </c>
      <c r="N46" s="20"/>
      <c r="O46" s="20"/>
      <c r="P46" s="20"/>
      <c r="Q46" s="20"/>
      <c r="R46" s="20"/>
      <c r="S46" s="20"/>
    </row>
    <row r="47" spans="1:19">
      <c r="A47" s="113" t="str">
        <f>IF(A46="","",A46)</f>
        <v/>
      </c>
      <c r="B47" s="53">
        <f t="shared" si="8"/>
        <v>236</v>
      </c>
      <c r="C47" s="53" t="str">
        <f t="shared" si="4"/>
        <v/>
      </c>
      <c r="D47" s="20"/>
      <c r="E47" s="20"/>
      <c r="F47" s="113" t="str">
        <f>IF(F46="","",F46)</f>
        <v/>
      </c>
      <c r="G47" s="53">
        <f t="shared" si="9"/>
        <v>208</v>
      </c>
      <c r="H47" s="53" t="str">
        <f t="shared" si="5"/>
        <v/>
      </c>
      <c r="I47" s="20"/>
      <c r="J47" s="20"/>
      <c r="K47" s="53" t="str">
        <f t="shared" si="10"/>
        <v/>
      </c>
      <c r="L47" s="20"/>
      <c r="M47" s="2">
        <v>0.9</v>
      </c>
      <c r="N47" s="20"/>
      <c r="O47" s="20"/>
      <c r="P47" s="20"/>
      <c r="Q47" s="20"/>
      <c r="R47" s="20"/>
      <c r="S47" s="20"/>
    </row>
    <row r="48" spans="1:19">
      <c r="A48" s="113" t="s">
        <v>609</v>
      </c>
      <c r="B48" s="53">
        <f t="shared" si="8"/>
        <v>20</v>
      </c>
      <c r="C48" s="53" t="str">
        <f t="shared" si="4"/>
        <v/>
      </c>
      <c r="D48" s="20"/>
      <c r="E48" s="20"/>
      <c r="F48" s="113" t="s">
        <v>609</v>
      </c>
      <c r="G48" s="53">
        <f t="shared" si="9"/>
        <v>20</v>
      </c>
      <c r="H48" s="53" t="str">
        <f t="shared" si="5"/>
        <v/>
      </c>
      <c r="I48" s="20"/>
      <c r="J48" s="20"/>
      <c r="K48" s="53" t="str">
        <f t="shared" si="10"/>
        <v/>
      </c>
      <c r="L48" s="20"/>
      <c r="M48" s="2">
        <v>0.9</v>
      </c>
      <c r="N48" s="20"/>
      <c r="O48" s="20"/>
      <c r="P48" s="20"/>
      <c r="Q48" s="20"/>
      <c r="R48" s="20"/>
      <c r="S48" s="20"/>
    </row>
    <row r="49" spans="1:19">
      <c r="A49" s="113" t="str">
        <f>IF(A48="","",A48)</f>
        <v/>
      </c>
      <c r="B49" s="53">
        <f t="shared" si="8"/>
        <v>236</v>
      </c>
      <c r="C49" s="53" t="str">
        <f t="shared" si="4"/>
        <v/>
      </c>
      <c r="D49" s="20"/>
      <c r="E49" s="20"/>
      <c r="F49" s="113" t="str">
        <f>IF(F48="","",F48)</f>
        <v/>
      </c>
      <c r="G49" s="53">
        <f t="shared" si="9"/>
        <v>208</v>
      </c>
      <c r="H49" s="53" t="str">
        <f t="shared" si="5"/>
        <v/>
      </c>
      <c r="I49" s="20"/>
      <c r="J49" s="20"/>
      <c r="K49" s="53" t="str">
        <f t="shared" si="10"/>
        <v/>
      </c>
      <c r="L49" s="20"/>
      <c r="M49" s="2">
        <v>0.9</v>
      </c>
      <c r="N49" s="20"/>
      <c r="O49" s="20"/>
      <c r="P49" s="20"/>
      <c r="Q49" s="20"/>
      <c r="R49" s="20"/>
      <c r="S49" s="20"/>
    </row>
    <row r="50" spans="1:19">
      <c r="A50" s="113" t="s">
        <v>609</v>
      </c>
      <c r="B50" s="53">
        <f t="shared" si="8"/>
        <v>20</v>
      </c>
      <c r="C50" s="53" t="str">
        <f t="shared" si="4"/>
        <v/>
      </c>
      <c r="D50" s="20"/>
      <c r="E50" s="20"/>
      <c r="F50" s="113" t="s">
        <v>609</v>
      </c>
      <c r="G50" s="53">
        <f t="shared" si="9"/>
        <v>20</v>
      </c>
      <c r="H50" s="53" t="str">
        <f t="shared" si="5"/>
        <v/>
      </c>
      <c r="I50" s="20"/>
      <c r="J50" s="20"/>
      <c r="K50" s="53" t="str">
        <f t="shared" si="10"/>
        <v/>
      </c>
      <c r="L50" s="20"/>
      <c r="M50" s="2">
        <v>0.9</v>
      </c>
      <c r="N50" s="20"/>
      <c r="O50" s="20"/>
      <c r="P50" s="20"/>
      <c r="Q50" s="20"/>
      <c r="R50" s="20"/>
      <c r="S50" s="20"/>
    </row>
    <row r="51" spans="1:19">
      <c r="A51" s="113" t="str">
        <f>IF(A50="","",A50)</f>
        <v/>
      </c>
      <c r="B51" s="53">
        <f t="shared" si="8"/>
        <v>236</v>
      </c>
      <c r="C51" s="53" t="str">
        <f t="shared" si="4"/>
        <v/>
      </c>
      <c r="D51" s="20"/>
      <c r="E51" s="20"/>
      <c r="F51" s="113" t="str">
        <f>IF(F50="","",F50)</f>
        <v/>
      </c>
      <c r="G51" s="53">
        <f t="shared" si="9"/>
        <v>208</v>
      </c>
      <c r="H51" s="53" t="str">
        <f t="shared" si="5"/>
        <v/>
      </c>
      <c r="I51" s="20"/>
      <c r="J51" s="20"/>
      <c r="K51" s="53" t="str">
        <f t="shared" si="10"/>
        <v/>
      </c>
      <c r="L51" s="20"/>
      <c r="M51" s="20"/>
      <c r="N51" s="20"/>
      <c r="O51" s="20"/>
      <c r="P51" s="20"/>
      <c r="Q51" s="20"/>
      <c r="R51" s="20"/>
      <c r="S51" s="20"/>
    </row>
    <row r="52" spans="1:19">
      <c r="A52" s="113" t="s">
        <v>609</v>
      </c>
      <c r="B52" s="53">
        <f t="shared" si="8"/>
        <v>20</v>
      </c>
      <c r="C52" s="53" t="str">
        <f t="shared" si="4"/>
        <v/>
      </c>
      <c r="D52" s="20"/>
      <c r="E52" s="20"/>
      <c r="F52" s="113" t="s">
        <v>609</v>
      </c>
      <c r="G52" s="53">
        <f t="shared" si="9"/>
        <v>20</v>
      </c>
      <c r="H52" s="53" t="str">
        <f t="shared" si="5"/>
        <v/>
      </c>
      <c r="I52" s="20"/>
      <c r="J52" s="20"/>
      <c r="K52" s="53" t="str">
        <f t="shared" si="10"/>
        <v/>
      </c>
      <c r="L52" s="20"/>
      <c r="M52" s="20"/>
      <c r="N52" s="20"/>
      <c r="O52" s="20"/>
      <c r="P52" s="20"/>
      <c r="Q52" s="20"/>
      <c r="R52" s="20"/>
      <c r="S52" s="20"/>
    </row>
    <row r="53" spans="1:19">
      <c r="A53" s="113" t="str">
        <f>IF(A52="","",A52)</f>
        <v/>
      </c>
      <c r="B53" s="53">
        <f t="shared" si="8"/>
        <v>236</v>
      </c>
      <c r="C53" s="53" t="str">
        <f t="shared" si="4"/>
        <v/>
      </c>
      <c r="D53" s="20"/>
      <c r="E53" s="20"/>
      <c r="F53" s="113" t="str">
        <f>IF(F52="","",F52)</f>
        <v/>
      </c>
      <c r="G53" s="53">
        <f t="shared" si="9"/>
        <v>208</v>
      </c>
      <c r="H53" s="53" t="str">
        <f t="shared" si="5"/>
        <v/>
      </c>
      <c r="I53" s="20"/>
      <c r="J53" s="20"/>
      <c r="K53" s="53" t="str">
        <f t="shared" si="10"/>
        <v/>
      </c>
      <c r="L53" s="20"/>
      <c r="M53" s="20"/>
      <c r="N53" s="20"/>
      <c r="O53" s="20"/>
      <c r="P53" s="20"/>
      <c r="Q53" s="20"/>
      <c r="R53" s="20"/>
      <c r="S53" s="20"/>
    </row>
    <row r="54" spans="1:19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</row>
    <row r="55" spans="1:19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</row>
    <row r="56" spans="1:19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53">
        <f t="shared" ref="K56:K57" si="11">A20</f>
        <v>3030</v>
      </c>
      <c r="L56" s="20"/>
      <c r="M56" s="20"/>
      <c r="N56" s="2">
        <v>1</v>
      </c>
      <c r="O56" s="20"/>
      <c r="P56" s="20"/>
      <c r="Q56" s="20"/>
      <c r="R56" s="20"/>
      <c r="S56" s="20"/>
    </row>
    <row r="57" spans="1:19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53">
        <f t="shared" si="11"/>
        <v>3250</v>
      </c>
      <c r="L57" s="20"/>
      <c r="M57" s="20"/>
      <c r="N57" s="2">
        <v>1</v>
      </c>
      <c r="O57" s="20"/>
      <c r="P57" s="20"/>
      <c r="Q57" s="20"/>
      <c r="R57" s="20"/>
      <c r="S57" s="20"/>
    </row>
    <row r="58" spans="1:19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</row>
    <row r="59" spans="1:1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</row>
    <row r="60" spans="1:19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</row>
    <row r="61" spans="1:19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</row>
    <row r="62" spans="1:19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</row>
    <row r="63" spans="1:1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</row>
    <row r="64" spans="1:19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</row>
    <row r="65" spans="1:19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</row>
    <row r="66" spans="1:19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</row>
    <row r="67" spans="1:19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</row>
    <row r="68" spans="1:19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</row>
    <row r="69" spans="1:1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</row>
    <row r="70" spans="1:19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</row>
    <row r="71" spans="1:19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</row>
    <row r="72" spans="1:19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</row>
    <row r="73" spans="1:19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</row>
    <row r="74" spans="1:19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</row>
    <row r="75" spans="1:19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</row>
    <row r="76" spans="1:19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</row>
    <row r="77" spans="1:19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</row>
    <row r="78" spans="1:19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</row>
    <row r="79" spans="1:1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</row>
    <row r="80" spans="1:19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</row>
    <row r="81" spans="1:19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  <row r="82" spans="1:19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</row>
    <row r="83" spans="1:19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</row>
    <row r="84" spans="1:19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pans="1:19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</row>
    <row r="86" spans="1:19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</row>
    <row r="87" spans="1:19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</row>
    <row r="88" spans="1:19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</row>
    <row r="89" spans="1:1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</row>
    <row r="90" spans="1:19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  <row r="91" spans="1:19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</row>
    <row r="92" spans="1:19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</row>
    <row r="93" spans="1:19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</row>
    <row r="94" spans="1:19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</row>
    <row r="95" spans="1:19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</row>
    <row r="96" spans="1:19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</row>
    <row r="97" spans="1:19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</row>
    <row r="98" spans="1:19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</row>
    <row r="99" spans="1:1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</row>
    <row r="100" spans="1:19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</row>
    <row r="101" spans="1:19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</row>
    <row r="102" spans="1:19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</row>
    <row r="103" spans="1:19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</row>
    <row r="104" spans="1:19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</row>
    <row r="105" spans="1:19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</row>
    <row r="106" spans="1:19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</row>
    <row r="107" spans="1:19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</row>
    <row r="108" spans="1:19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</row>
    <row r="109" spans="1:1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</row>
    <row r="110" spans="1:19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</row>
    <row r="111" spans="1:19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</row>
  </sheetData>
  <mergeCells count="1">
    <mergeCell ref="A2:J2"/>
  </mergeCells>
  <conditionalFormatting sqref="C3">
    <cfRule type="cellIs" dxfId="0" priority="1" operator="equal">
      <formula>0</formula>
    </cfRule>
  </conditionalFormatting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3"/>
  <sheetViews>
    <sheetView workbookViewId="0"/>
  </sheetViews>
  <sheetFormatPr defaultColWidth="14.42578125" defaultRowHeight="12.75" customHeight="1"/>
  <cols>
    <col min="1" max="20" width="17.28515625" customWidth="1"/>
  </cols>
  <sheetData>
    <row r="1" spans="1:5" ht="12.75" customHeight="1">
      <c r="D1" s="10" t="s">
        <v>169</v>
      </c>
      <c r="E1" s="10" t="s">
        <v>170</v>
      </c>
    </row>
    <row r="2" spans="1:5" ht="12.75" customHeight="1">
      <c r="A2" s="10" t="s">
        <v>171</v>
      </c>
      <c r="B2" s="120" t="s">
        <v>172</v>
      </c>
      <c r="C2" s="121" t="s">
        <v>173</v>
      </c>
      <c r="D2" s="86" t="str">
        <f>'Top Level'!B1</f>
        <v>MAX2771_hi</v>
      </c>
      <c r="E2" s="86">
        <f>'Top Level'!O12</f>
        <v>1575</v>
      </c>
    </row>
    <row r="3" spans="1:5" ht="12.75" customHeight="1">
      <c r="A3" s="10">
        <v>100</v>
      </c>
      <c r="B3" s="122">
        <f>PNoise!M14</f>
        <v>-68.318906699037598</v>
      </c>
      <c r="C3" s="123">
        <f>PNoise!D14</f>
        <v>-21</v>
      </c>
    </row>
    <row r="4" spans="1:5" ht="12.75" customHeight="1">
      <c r="A4" s="10">
        <v>1000</v>
      </c>
      <c r="B4" s="122">
        <f>PNoise!M15</f>
        <v>-69.022453546290194</v>
      </c>
      <c r="C4" s="123">
        <f>PNoise!D15</f>
        <v>-41</v>
      </c>
    </row>
    <row r="5" spans="1:5" ht="12.75" customHeight="1">
      <c r="A5" s="10">
        <v>4000</v>
      </c>
      <c r="B5" s="122">
        <f>PNoise!M16</f>
        <v>-68.909862124531074</v>
      </c>
      <c r="C5" s="123">
        <f>PNoise!D16</f>
        <v>-59</v>
      </c>
    </row>
    <row r="6" spans="1:5" ht="12.75" customHeight="1">
      <c r="A6" s="10">
        <v>10000</v>
      </c>
      <c r="B6" s="122">
        <f>PNoise!M17</f>
        <v>-68.238044661779341</v>
      </c>
      <c r="C6" s="123">
        <f>PNoise!D17</f>
        <v>-71</v>
      </c>
    </row>
    <row r="7" spans="1:5" ht="12.75" customHeight="1">
      <c r="A7" s="10">
        <v>20000</v>
      </c>
      <c r="B7" s="122">
        <f>PNoise!M18</f>
        <v>-67.392637836893613</v>
      </c>
      <c r="C7" s="123">
        <f>PNoise!D18</f>
        <v>-77</v>
      </c>
    </row>
    <row r="8" spans="1:5" ht="12.75" customHeight="1">
      <c r="A8" s="10">
        <v>40000</v>
      </c>
      <c r="B8" s="122">
        <f>PNoise!M19</f>
        <v>-67.741442603238639</v>
      </c>
      <c r="C8" s="123">
        <f>PNoise!D19</f>
        <v>-83</v>
      </c>
    </row>
    <row r="9" spans="1:5" ht="12.75" customHeight="1">
      <c r="A9" s="10">
        <v>80000</v>
      </c>
      <c r="B9" s="122">
        <f>PNoise!M20</f>
        <v>-68.195389222227021</v>
      </c>
      <c r="C9" s="123">
        <f>PNoise!D20</f>
        <v>-89</v>
      </c>
    </row>
    <row r="10" spans="1:5" ht="12.75" customHeight="1">
      <c r="A10" s="10">
        <v>100000</v>
      </c>
      <c r="B10" s="122">
        <f>PNoise!M21</f>
        <v>-67.580223656441746</v>
      </c>
      <c r="C10" s="123">
        <f>PNoise!D21</f>
        <v>-91</v>
      </c>
    </row>
    <row r="11" spans="1:5" ht="12.75" customHeight="1">
      <c r="A11" s="10">
        <v>200000</v>
      </c>
      <c r="B11" s="122">
        <f>PNoise!M22</f>
        <v>-65.516092187623343</v>
      </c>
      <c r="C11" s="123">
        <f>PNoise!D22</f>
        <v>-97</v>
      </c>
    </row>
    <row r="12" spans="1:5" ht="12.75" customHeight="1">
      <c r="A12" s="10">
        <v>400000</v>
      </c>
      <c r="B12" s="122">
        <f>PNoise!M23</f>
        <v>-67.516526678817257</v>
      </c>
      <c r="C12" s="123">
        <f>PNoise!D23</f>
        <v>-103</v>
      </c>
    </row>
    <row r="13" spans="1:5" ht="12.75" customHeight="1">
      <c r="A13" s="10">
        <v>1000000</v>
      </c>
      <c r="B13" s="122">
        <f>PNoise!M24</f>
        <v>-106.31930942017914</v>
      </c>
      <c r="C13" s="123">
        <f>PNoise!D24</f>
        <v>-111</v>
      </c>
    </row>
    <row r="14" spans="1:5" ht="12.75" customHeight="1">
      <c r="A14" s="10">
        <v>10000000</v>
      </c>
      <c r="B14" s="122">
        <f>PNoise!M25</f>
        <v>-114.99916333566119</v>
      </c>
      <c r="C14" s="123">
        <f>PNoise!D25</f>
        <v>-115</v>
      </c>
    </row>
    <row r="19" spans="1:7" ht="12.75" customHeight="1">
      <c r="A19" s="10" t="s">
        <v>174</v>
      </c>
      <c r="E19" s="10" t="s">
        <v>175</v>
      </c>
    </row>
    <row r="20" spans="1:7" ht="12.75" customHeight="1">
      <c r="A20" s="86" t="str">
        <f t="shared" ref="A20:A32" si="0">A2</f>
        <v>freq offset(Hz)</v>
      </c>
      <c r="B20" s="121" t="s">
        <v>176</v>
      </c>
      <c r="C20" s="121" t="s">
        <v>177</v>
      </c>
      <c r="E20" s="86" t="str">
        <f t="shared" ref="E20:E32" si="1">A2</f>
        <v>freq offset(Hz)</v>
      </c>
      <c r="F20" s="124" t="s">
        <v>178</v>
      </c>
      <c r="G20" s="120" t="s">
        <v>179</v>
      </c>
    </row>
    <row r="21" spans="1:7" ht="12.75" customHeight="1">
      <c r="A21" s="86">
        <f t="shared" si="0"/>
        <v>100</v>
      </c>
      <c r="B21" s="125">
        <v>-27.5465103091861</v>
      </c>
      <c r="C21" s="125">
        <v>-51.9999872491234</v>
      </c>
      <c r="E21" s="86">
        <f t="shared" si="1"/>
        <v>100</v>
      </c>
      <c r="F21" s="126">
        <v>-68.767241367162597</v>
      </c>
      <c r="G21" s="127">
        <v>-74.373470609441597</v>
      </c>
    </row>
    <row r="22" spans="1:7" ht="12.75" customHeight="1">
      <c r="A22" s="86">
        <f t="shared" si="0"/>
        <v>1000</v>
      </c>
      <c r="B22" s="125">
        <v>-47.546510309186097</v>
      </c>
      <c r="C22" s="125">
        <v>-71.999987249123393</v>
      </c>
      <c r="E22" s="86">
        <f t="shared" si="1"/>
        <v>1000</v>
      </c>
      <c r="F22" s="126">
        <v>-92.992774414386105</v>
      </c>
      <c r="G22" s="127">
        <v>-93.343017289458402</v>
      </c>
    </row>
    <row r="23" spans="1:7" ht="12.75" customHeight="1">
      <c r="A23" s="86">
        <f t="shared" si="0"/>
        <v>4000</v>
      </c>
      <c r="B23" s="125">
        <v>-67.173519333087697</v>
      </c>
      <c r="C23" s="125">
        <v>-85.199987249123396</v>
      </c>
      <c r="E23" s="86">
        <f t="shared" si="1"/>
        <v>4000</v>
      </c>
      <c r="F23" s="126">
        <v>-98.542773066140597</v>
      </c>
      <c r="G23" s="127">
        <v>-99.054954558475004</v>
      </c>
    </row>
    <row r="24" spans="1:7" ht="12.75" customHeight="1">
      <c r="A24" s="86">
        <f t="shared" si="0"/>
        <v>10000</v>
      </c>
      <c r="B24" s="125">
        <v>-80.258192015688806</v>
      </c>
      <c r="C24" s="125">
        <v>-93.999987249123393</v>
      </c>
      <c r="E24" s="86">
        <f t="shared" si="1"/>
        <v>10000</v>
      </c>
      <c r="F24" s="126">
        <v>-101.43758722141099</v>
      </c>
      <c r="G24" s="127">
        <v>-102.306465181452</v>
      </c>
    </row>
    <row r="25" spans="1:7" ht="12.75" customHeight="1">
      <c r="A25" s="86">
        <f t="shared" si="0"/>
        <v>20000</v>
      </c>
      <c r="B25" s="125">
        <v>-88.777519799699206</v>
      </c>
      <c r="C25" s="125">
        <v>-100.599987249123</v>
      </c>
      <c r="E25" s="86">
        <f t="shared" si="1"/>
        <v>20000</v>
      </c>
      <c r="F25" s="126">
        <v>-102.658960263504</v>
      </c>
      <c r="G25" s="127">
        <v>-103.949975652837</v>
      </c>
    </row>
    <row r="26" spans="1:7" ht="12.75" customHeight="1">
      <c r="A26" s="86">
        <f t="shared" si="0"/>
        <v>40000</v>
      </c>
      <c r="B26" s="125">
        <v>-97.296847583709607</v>
      </c>
      <c r="C26" s="125">
        <v>-107.199987249123</v>
      </c>
      <c r="E26" s="86">
        <f t="shared" si="1"/>
        <v>40000</v>
      </c>
      <c r="F26" s="126">
        <v>-102.703732468916</v>
      </c>
      <c r="G26" s="127">
        <v>-104.32004657591899</v>
      </c>
    </row>
    <row r="27" spans="1:7" ht="12.75" customHeight="1">
      <c r="A27" s="86">
        <f t="shared" si="0"/>
        <v>80000</v>
      </c>
      <c r="B27" s="125">
        <v>-105.81617536772001</v>
      </c>
      <c r="C27" s="125">
        <v>-113.79998724912301</v>
      </c>
      <c r="E27" s="86">
        <f t="shared" si="1"/>
        <v>80000</v>
      </c>
      <c r="F27" s="126">
        <v>-102.035507589967</v>
      </c>
      <c r="G27" s="127">
        <v>-103.725568520491</v>
      </c>
    </row>
    <row r="28" spans="1:7" ht="12.75" customHeight="1">
      <c r="A28" s="86">
        <f t="shared" si="0"/>
        <v>100000</v>
      </c>
      <c r="B28" s="125">
        <v>-108.655951295723</v>
      </c>
      <c r="C28" s="125">
        <v>-115.999987249123</v>
      </c>
      <c r="E28" s="86">
        <f t="shared" si="1"/>
        <v>100000</v>
      </c>
      <c r="F28" s="126">
        <v>-102.054127271228</v>
      </c>
      <c r="G28" s="127">
        <v>-103.753525562516</v>
      </c>
    </row>
    <row r="29" spans="1:7" ht="12.75" customHeight="1">
      <c r="A29" s="86">
        <f t="shared" si="0"/>
        <v>200000</v>
      </c>
      <c r="B29" s="125">
        <v>-115.915564562493</v>
      </c>
      <c r="C29" s="125">
        <v>-122.599987249123</v>
      </c>
      <c r="E29" s="86">
        <f t="shared" si="1"/>
        <v>200000</v>
      </c>
      <c r="F29" s="126">
        <v>-104.096430636709</v>
      </c>
      <c r="G29" s="127">
        <v>-105.934928955367</v>
      </c>
    </row>
    <row r="30" spans="1:7" ht="12.75" customHeight="1">
      <c r="A30" s="86">
        <f t="shared" si="0"/>
        <v>400000</v>
      </c>
      <c r="B30" s="125">
        <v>-123.175177829262</v>
      </c>
      <c r="C30" s="125">
        <v>-129.19998724912301</v>
      </c>
      <c r="E30" s="86">
        <f t="shared" si="1"/>
        <v>400000</v>
      </c>
      <c r="F30" s="126">
        <v>-110.1922353957</v>
      </c>
      <c r="G30" s="127">
        <v>-112.234652915742</v>
      </c>
    </row>
    <row r="31" spans="1:7" ht="12.75" customHeight="1">
      <c r="A31" s="86">
        <f t="shared" si="0"/>
        <v>1000000</v>
      </c>
      <c r="B31" s="125">
        <v>-132.85466218495401</v>
      </c>
      <c r="C31" s="125">
        <v>-137.999987249123</v>
      </c>
      <c r="E31" s="86">
        <f t="shared" si="1"/>
        <v>1000000</v>
      </c>
      <c r="F31" s="126">
        <v>-122.808178131948</v>
      </c>
      <c r="G31" s="127">
        <v>-124.56670050456199</v>
      </c>
    </row>
    <row r="32" spans="1:7" ht="12.75" customHeight="1">
      <c r="A32" s="86">
        <f t="shared" si="0"/>
        <v>10000000</v>
      </c>
      <c r="B32" s="125">
        <v>-152</v>
      </c>
      <c r="C32" s="125">
        <v>-152</v>
      </c>
      <c r="E32" s="86">
        <f t="shared" si="1"/>
        <v>10000000</v>
      </c>
      <c r="F32" s="126">
        <v>-151.78289377030899</v>
      </c>
      <c r="G32" s="127">
        <v>-151.88153203760399</v>
      </c>
    </row>
    <row r="33" spans="5:5" ht="12.75" customHeight="1">
      <c r="E33" s="86">
        <f>A16</f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104"/>
  <sheetViews>
    <sheetView topLeftCell="A4" workbookViewId="0"/>
  </sheetViews>
  <sheetFormatPr defaultColWidth="14.42578125" defaultRowHeight="12.75" customHeight="1"/>
  <cols>
    <col min="1" max="1" width="13.5703125" customWidth="1"/>
    <col min="2" max="24" width="17.28515625" customWidth="1"/>
  </cols>
  <sheetData>
    <row r="1" spans="1:20" ht="12.75" customHeight="1">
      <c r="G1" s="20"/>
      <c r="H1" s="20"/>
      <c r="I1" s="20"/>
      <c r="J1" s="2">
        <v>0.1</v>
      </c>
      <c r="K1" s="2">
        <v>1</v>
      </c>
      <c r="L1" s="2">
        <v>10</v>
      </c>
      <c r="M1" s="2">
        <v>100</v>
      </c>
      <c r="N1" s="2">
        <v>1000</v>
      </c>
      <c r="O1" s="20"/>
      <c r="P1" s="20"/>
      <c r="Q1" s="20"/>
      <c r="R1" s="20"/>
      <c r="S1" s="20"/>
      <c r="T1" s="20"/>
    </row>
    <row r="2" spans="1:20" ht="12.75" customHeight="1">
      <c r="G2" s="79"/>
      <c r="H2" s="20"/>
      <c r="I2" s="2" t="s">
        <v>180</v>
      </c>
      <c r="J2" s="20"/>
      <c r="K2" s="2">
        <v>-131</v>
      </c>
      <c r="L2" s="2">
        <v>-133.4</v>
      </c>
      <c r="M2" s="2">
        <v>-136.9</v>
      </c>
      <c r="N2" s="2">
        <v>-144</v>
      </c>
      <c r="Q2" s="20"/>
      <c r="R2" s="20"/>
      <c r="S2" s="20"/>
      <c r="T2" s="20"/>
    </row>
    <row r="3" spans="1:20" ht="12.75" customHeight="1">
      <c r="G3" s="79"/>
      <c r="H3" s="20"/>
      <c r="I3" s="2" t="s">
        <v>181</v>
      </c>
      <c r="J3" s="20"/>
      <c r="K3" s="2">
        <v>-114</v>
      </c>
      <c r="L3" s="2">
        <v>-138</v>
      </c>
      <c r="M3" s="2">
        <v>-147</v>
      </c>
      <c r="N3" s="2">
        <v>-154</v>
      </c>
      <c r="O3" s="20"/>
      <c r="P3" s="20"/>
      <c r="Q3" s="20"/>
      <c r="R3" s="20"/>
      <c r="S3" s="20"/>
      <c r="T3" s="20"/>
    </row>
    <row r="4" spans="1:20" ht="12.75" customHeight="1">
      <c r="G4" s="79"/>
      <c r="H4" s="20"/>
      <c r="I4" s="2" t="s">
        <v>182</v>
      </c>
      <c r="K4" s="2">
        <v>-129</v>
      </c>
      <c r="L4" s="2">
        <v>-142</v>
      </c>
      <c r="M4" s="2">
        <v>-147</v>
      </c>
      <c r="N4" s="2">
        <v>-154</v>
      </c>
      <c r="O4" s="20"/>
      <c r="P4" s="20"/>
      <c r="Q4" s="20"/>
      <c r="R4" s="20"/>
      <c r="S4" s="20"/>
      <c r="T4" s="20"/>
    </row>
    <row r="5" spans="1:20" ht="12.75" customHeight="1">
      <c r="G5" s="79"/>
      <c r="H5" s="20"/>
      <c r="I5" s="2" t="s">
        <v>183</v>
      </c>
      <c r="J5" s="10">
        <v>-114</v>
      </c>
      <c r="K5" s="10">
        <v>-136</v>
      </c>
      <c r="L5" s="10">
        <v>-148</v>
      </c>
      <c r="M5" s="10">
        <v>-150</v>
      </c>
      <c r="N5" s="10">
        <v>-150</v>
      </c>
      <c r="O5" s="20"/>
      <c r="P5" s="20"/>
      <c r="Q5" s="20"/>
      <c r="R5" s="20"/>
      <c r="S5" s="20"/>
      <c r="T5" s="20"/>
    </row>
    <row r="6" spans="1:20" ht="12.75" customHeight="1">
      <c r="A6" s="63"/>
      <c r="B6" s="63"/>
      <c r="C6" s="63"/>
      <c r="D6" s="63"/>
      <c r="E6" s="63"/>
      <c r="F6" s="63"/>
      <c r="G6" s="20"/>
      <c r="H6" s="20"/>
      <c r="I6" s="2" t="s">
        <v>184</v>
      </c>
      <c r="J6" s="10">
        <v>-115</v>
      </c>
      <c r="K6" s="10">
        <v>-130</v>
      </c>
      <c r="L6" s="10">
        <v>-140</v>
      </c>
      <c r="M6" s="10">
        <v>-140</v>
      </c>
      <c r="N6" s="10">
        <v>-140</v>
      </c>
      <c r="O6" s="20"/>
      <c r="P6" s="20"/>
      <c r="Q6" s="20"/>
      <c r="R6" s="20"/>
      <c r="S6" s="20"/>
      <c r="T6" s="20"/>
    </row>
    <row r="7" spans="1:20" ht="12.75" customHeight="1">
      <c r="A7" s="2" t="s">
        <v>185</v>
      </c>
      <c r="B7" s="2">
        <v>-130</v>
      </c>
      <c r="C7" s="2">
        <v>-131</v>
      </c>
      <c r="D7" s="2">
        <v>-133</v>
      </c>
      <c r="E7" s="2">
        <v>-136</v>
      </c>
      <c r="F7" s="2">
        <v>-144</v>
      </c>
      <c r="G7" s="20"/>
      <c r="H7" s="20"/>
      <c r="I7" s="10" t="s">
        <v>186</v>
      </c>
      <c r="J7" s="10">
        <v>-90</v>
      </c>
      <c r="K7" s="10">
        <v>-122</v>
      </c>
      <c r="L7" s="10">
        <v>-142</v>
      </c>
      <c r="M7" s="10">
        <v>-150</v>
      </c>
      <c r="O7" s="20"/>
      <c r="P7" s="20"/>
      <c r="Q7" s="20"/>
      <c r="R7" s="20"/>
      <c r="S7" s="20"/>
      <c r="T7" s="20"/>
    </row>
    <row r="8" spans="1:20" ht="12.75" customHeight="1">
      <c r="A8" s="2" t="s">
        <v>187</v>
      </c>
      <c r="B8" s="2">
        <v>-85</v>
      </c>
      <c r="C8" s="2">
        <v>-120</v>
      </c>
      <c r="D8" s="2">
        <v>-130</v>
      </c>
      <c r="E8" s="2">
        <v>-135</v>
      </c>
      <c r="F8" s="2">
        <v>-158</v>
      </c>
      <c r="G8" s="20"/>
      <c r="I8" s="10" t="s">
        <v>188</v>
      </c>
      <c r="J8" s="10">
        <v>-111.7896241</v>
      </c>
      <c r="K8" s="10">
        <v>-143.7896241</v>
      </c>
      <c r="L8" s="10">
        <v>-163.7896241</v>
      </c>
      <c r="M8" s="10">
        <v>-171.7896241</v>
      </c>
      <c r="N8" s="10">
        <v>-172</v>
      </c>
      <c r="O8" s="20"/>
      <c r="P8" s="20"/>
      <c r="Q8" s="20"/>
      <c r="R8" s="20"/>
      <c r="S8" s="20"/>
      <c r="T8" s="20"/>
    </row>
    <row r="9" spans="1:20" ht="12.75" customHeight="1">
      <c r="A9" s="2" t="s">
        <v>189</v>
      </c>
      <c r="B9" s="2">
        <v>-100</v>
      </c>
      <c r="C9" s="2">
        <v>-110</v>
      </c>
      <c r="D9" s="2">
        <v>-130.5</v>
      </c>
      <c r="E9" s="2">
        <v>-137.19999999999999</v>
      </c>
      <c r="F9" s="2">
        <v>-138.19999999999999</v>
      </c>
      <c r="G9" s="53">
        <f>20*LOG(5)</f>
        <v>13.979400086720377</v>
      </c>
      <c r="O9" s="20"/>
      <c r="P9" s="20"/>
      <c r="Q9" s="20"/>
      <c r="R9" s="20"/>
      <c r="S9" s="20"/>
      <c r="T9" s="20"/>
    </row>
    <row r="10" spans="1:20" ht="12.75" customHeight="1">
      <c r="A10" s="2" t="s">
        <v>190</v>
      </c>
      <c r="B10" s="2">
        <v>-87</v>
      </c>
      <c r="C10" s="2">
        <v>-114</v>
      </c>
      <c r="D10" s="2">
        <v>-138</v>
      </c>
      <c r="E10" s="2">
        <v>-147</v>
      </c>
      <c r="F10" s="20"/>
      <c r="G10" s="20"/>
      <c r="P10" s="20"/>
      <c r="Q10" s="20"/>
      <c r="R10" s="20"/>
      <c r="S10" s="20"/>
      <c r="T10" s="20"/>
    </row>
    <row r="11" spans="1:20" ht="12.75" customHeight="1">
      <c r="A11" s="10" t="s">
        <v>191</v>
      </c>
      <c r="B11" s="2">
        <v>-108</v>
      </c>
      <c r="C11" s="2">
        <v>-143.4</v>
      </c>
      <c r="D11" s="2">
        <v>-157</v>
      </c>
      <c r="E11" s="2">
        <v>-161</v>
      </c>
      <c r="F11" s="2">
        <v>-169</v>
      </c>
      <c r="G11" s="20"/>
      <c r="H11" s="20"/>
      <c r="P11" s="20"/>
      <c r="Q11" s="20"/>
      <c r="R11" s="20"/>
      <c r="S11" s="20"/>
      <c r="T11" s="20"/>
    </row>
    <row r="12" spans="1:20" ht="12.75" customHeight="1">
      <c r="A12" s="2" t="s">
        <v>192</v>
      </c>
      <c r="B12" s="53">
        <f t="shared" ref="B12:F12" si="0">B9-14</f>
        <v>-114</v>
      </c>
      <c r="C12" s="53">
        <f t="shared" si="0"/>
        <v>-124</v>
      </c>
      <c r="D12" s="53">
        <f t="shared" si="0"/>
        <v>-144.5</v>
      </c>
      <c r="E12" s="53">
        <f t="shared" si="0"/>
        <v>-151.19999999999999</v>
      </c>
      <c r="F12" s="53">
        <f t="shared" si="0"/>
        <v>-152.19999999999999</v>
      </c>
      <c r="G12" s="20"/>
      <c r="H12" s="20"/>
      <c r="P12" s="20"/>
      <c r="Q12" s="20"/>
      <c r="R12" s="20"/>
      <c r="S12" s="20"/>
      <c r="T12" s="20"/>
    </row>
    <row r="13" spans="1:20" ht="12.75" customHeight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pans="1:20" ht="12.75" customHeight="1">
      <c r="A14" s="128" t="s">
        <v>193</v>
      </c>
      <c r="B14" s="45"/>
      <c r="C14" s="45"/>
      <c r="D14" s="45"/>
      <c r="E14" s="45"/>
      <c r="F14" s="45"/>
      <c r="G14" s="45"/>
      <c r="H14" s="45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0" ht="12.75" customHeight="1">
      <c r="A15" s="57" t="s">
        <v>194</v>
      </c>
      <c r="B15" s="57">
        <v>1</v>
      </c>
      <c r="C15" s="57">
        <v>10</v>
      </c>
      <c r="D15" s="57">
        <v>100</v>
      </c>
      <c r="E15" s="57">
        <v>1000</v>
      </c>
      <c r="F15" s="129" t="s">
        <v>195</v>
      </c>
      <c r="G15" s="57" t="s">
        <v>196</v>
      </c>
      <c r="H15" s="57" t="s">
        <v>197</v>
      </c>
      <c r="I15" s="79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0" ht="12.75" customHeight="1">
      <c r="A16" s="130" t="s">
        <v>198</v>
      </c>
      <c r="B16" s="130">
        <v>-62.8</v>
      </c>
      <c r="C16" s="130">
        <v>-89</v>
      </c>
      <c r="D16" s="130">
        <v>-110.9</v>
      </c>
      <c r="E16" s="130">
        <v>-130.9</v>
      </c>
      <c r="F16" s="130">
        <v>85</v>
      </c>
      <c r="G16" s="130">
        <v>5850</v>
      </c>
      <c r="H16" s="130">
        <v>6040</v>
      </c>
      <c r="I16" s="79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pans="1:20" ht="12.75" customHeight="1">
      <c r="A17" s="130" t="s">
        <v>199</v>
      </c>
      <c r="B17" s="130">
        <v>-42</v>
      </c>
      <c r="C17" s="130">
        <v>-80</v>
      </c>
      <c r="D17" s="130">
        <v>-105</v>
      </c>
      <c r="E17" s="130">
        <v>-130</v>
      </c>
      <c r="F17" s="130">
        <v>60</v>
      </c>
      <c r="G17" s="130">
        <v>11750</v>
      </c>
      <c r="H17" s="130">
        <v>12200</v>
      </c>
      <c r="I17" s="79"/>
      <c r="J17" s="20"/>
      <c r="K17" s="20"/>
      <c r="M17" s="20"/>
      <c r="N17" s="20"/>
      <c r="O17" s="20"/>
      <c r="P17" s="20"/>
      <c r="Q17" s="20"/>
      <c r="R17" s="20"/>
      <c r="S17" s="20"/>
      <c r="T17" s="20"/>
    </row>
    <row r="18" spans="1:20" ht="12.75" customHeight="1">
      <c r="A18" s="130" t="s">
        <v>200</v>
      </c>
      <c r="B18" s="130">
        <v>-88</v>
      </c>
      <c r="C18" s="130">
        <v>-111</v>
      </c>
      <c r="D18" s="130">
        <v>-136</v>
      </c>
      <c r="E18" s="130">
        <v>-156</v>
      </c>
      <c r="F18" s="130">
        <v>6.5</v>
      </c>
      <c r="G18" s="130">
        <v>3900</v>
      </c>
      <c r="H18" s="130">
        <v>4100</v>
      </c>
      <c r="I18" s="79"/>
      <c r="J18" s="20"/>
      <c r="K18" s="20"/>
      <c r="M18" s="20"/>
      <c r="N18" s="20"/>
      <c r="O18" s="20"/>
      <c r="P18" s="20"/>
      <c r="Q18" s="20"/>
      <c r="R18" s="20"/>
      <c r="S18" s="20"/>
      <c r="T18" s="20"/>
    </row>
    <row r="19" spans="1:20" ht="12.75" customHeight="1">
      <c r="A19" s="130" t="s">
        <v>201</v>
      </c>
      <c r="B19" s="130">
        <v>-90</v>
      </c>
      <c r="C19" s="130">
        <v>-119</v>
      </c>
      <c r="D19" s="130">
        <v>-142</v>
      </c>
      <c r="E19" s="130">
        <v>-164</v>
      </c>
      <c r="F19" s="131"/>
      <c r="G19" s="131"/>
      <c r="H19" s="131"/>
      <c r="I19" s="79"/>
      <c r="J19" s="2">
        <v>2.5000000000000001E-5</v>
      </c>
      <c r="K19" s="2">
        <v>50</v>
      </c>
      <c r="M19" s="20"/>
      <c r="N19" s="20"/>
      <c r="O19" s="20"/>
      <c r="P19" s="20"/>
      <c r="Q19" s="20"/>
      <c r="R19" s="20"/>
      <c r="S19" s="20"/>
      <c r="T19" s="20"/>
    </row>
    <row r="20" spans="1:20" ht="12.75" customHeight="1">
      <c r="A20" s="130" t="s">
        <v>202</v>
      </c>
      <c r="B20" s="130">
        <v>-154</v>
      </c>
      <c r="C20" s="130">
        <v>-167</v>
      </c>
      <c r="D20" s="130">
        <v>-174</v>
      </c>
      <c r="E20" s="130">
        <v>-175</v>
      </c>
      <c r="F20" s="130">
        <v>1.25E-3</v>
      </c>
      <c r="G20" s="131"/>
      <c r="H20" s="131"/>
      <c r="I20" s="79"/>
      <c r="J20" s="20"/>
      <c r="K20" s="20"/>
      <c r="M20" s="20"/>
      <c r="N20" s="20"/>
      <c r="O20" s="20"/>
      <c r="P20" s="20"/>
      <c r="Q20" s="20"/>
      <c r="R20" s="20"/>
      <c r="S20" s="20"/>
      <c r="T20" s="20"/>
    </row>
    <row r="21" spans="1:20" ht="12.75" customHeight="1">
      <c r="A21" s="130" t="s">
        <v>20</v>
      </c>
      <c r="B21" s="130">
        <v>-71</v>
      </c>
      <c r="C21" s="130">
        <v>-99.5</v>
      </c>
      <c r="D21" s="130">
        <v>-123.4</v>
      </c>
      <c r="E21" s="130">
        <v>-144</v>
      </c>
      <c r="F21" s="130">
        <v>42</v>
      </c>
      <c r="G21" s="130">
        <v>7890</v>
      </c>
      <c r="H21" s="130">
        <v>8010</v>
      </c>
      <c r="I21" s="79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 ht="12.75" customHeight="1">
      <c r="A22" s="63"/>
      <c r="B22" s="63"/>
      <c r="C22" s="63"/>
      <c r="D22" s="63"/>
      <c r="E22" s="63"/>
      <c r="F22" s="63"/>
      <c r="G22" s="63"/>
      <c r="H22" s="63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 ht="12.75" customHeight="1">
      <c r="A23" s="2" t="s">
        <v>20</v>
      </c>
      <c r="B23" s="2">
        <v>-71</v>
      </c>
      <c r="C23" s="2">
        <v>-99.5</v>
      </c>
      <c r="D23" s="2">
        <v>-123.4</v>
      </c>
      <c r="E23" s="2">
        <v>-131</v>
      </c>
      <c r="F23" s="2">
        <v>42</v>
      </c>
      <c r="G23" s="2">
        <v>7890</v>
      </c>
      <c r="H23" s="2">
        <v>8010</v>
      </c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 ht="12.75" customHeight="1">
      <c r="A24" s="2" t="s">
        <v>203</v>
      </c>
      <c r="B24" s="2">
        <v>-118</v>
      </c>
      <c r="C24" s="2">
        <v>-134.5</v>
      </c>
      <c r="D24" s="2">
        <v>-147.5</v>
      </c>
      <c r="E24" s="2">
        <v>-155</v>
      </c>
      <c r="F24" s="2">
        <v>0.01</v>
      </c>
      <c r="G24" s="2">
        <v>124.985</v>
      </c>
      <c r="H24" s="2">
        <v>125.015</v>
      </c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 ht="12.75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 ht="12.75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 ht="12.7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 ht="12.75" customHeight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 ht="12.75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 ht="12.7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 ht="12.75" customHeight="1">
      <c r="A31" s="128" t="s">
        <v>204</v>
      </c>
      <c r="B31" s="45"/>
      <c r="C31" s="45"/>
      <c r="D31" s="45"/>
      <c r="E31" s="45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  <row r="32" spans="1:20" ht="12.75" customHeight="1">
      <c r="A32" s="57" t="s">
        <v>65</v>
      </c>
      <c r="B32" s="57" t="s">
        <v>205</v>
      </c>
      <c r="C32" s="57" t="s">
        <v>206</v>
      </c>
      <c r="D32" s="57" t="s">
        <v>207</v>
      </c>
      <c r="E32" s="57" t="s">
        <v>208</v>
      </c>
      <c r="F32" s="79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 ht="12.75" customHeight="1">
      <c r="A33" s="130" t="s">
        <v>209</v>
      </c>
      <c r="B33" s="130">
        <v>0.4</v>
      </c>
      <c r="C33" s="130">
        <v>0.05</v>
      </c>
      <c r="D33" s="130">
        <v>3.9</v>
      </c>
      <c r="E33" s="130">
        <v>3.5000000000000003E-2</v>
      </c>
      <c r="F33" s="79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 ht="12.75" customHeight="1">
      <c r="A34" s="130" t="s">
        <v>36</v>
      </c>
      <c r="B34" s="130">
        <v>3.75</v>
      </c>
      <c r="C34" s="130">
        <v>0.1</v>
      </c>
      <c r="D34" s="130">
        <v>0.94</v>
      </c>
      <c r="E34" s="130">
        <v>0.05</v>
      </c>
      <c r="F34" s="79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 ht="12.75" customHeight="1">
      <c r="A35" s="130" t="s">
        <v>210</v>
      </c>
      <c r="B35" s="130">
        <v>3</v>
      </c>
      <c r="C35" s="130">
        <v>30</v>
      </c>
      <c r="D35" s="130">
        <v>3</v>
      </c>
      <c r="E35" s="130">
        <v>30</v>
      </c>
      <c r="F35" s="79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 ht="12.75" customHeight="1">
      <c r="A36" s="63"/>
      <c r="B36" s="63"/>
      <c r="C36" s="63"/>
      <c r="D36" s="63"/>
      <c r="E36" s="63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</row>
    <row r="37" spans="1:20" ht="12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</row>
    <row r="38" spans="1:20" ht="12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</row>
    <row r="39" spans="1:20" ht="12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 ht="12.75" customHeight="1">
      <c r="A40" s="128" t="s">
        <v>211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20"/>
      <c r="M40" s="20"/>
      <c r="N40" s="20"/>
      <c r="O40" s="20"/>
      <c r="P40" s="20"/>
      <c r="Q40" s="20"/>
      <c r="R40" s="20"/>
      <c r="S40" s="20"/>
      <c r="T40" s="20"/>
    </row>
    <row r="41" spans="1:20" ht="12.75" customHeight="1">
      <c r="A41" s="57" t="s">
        <v>65</v>
      </c>
      <c r="B41" s="57" t="s">
        <v>212</v>
      </c>
      <c r="C41" s="57" t="s">
        <v>213</v>
      </c>
      <c r="D41" s="57" t="s">
        <v>214</v>
      </c>
      <c r="E41" s="57" t="s">
        <v>215</v>
      </c>
      <c r="F41" s="57" t="s">
        <v>216</v>
      </c>
      <c r="G41" s="57" t="s">
        <v>217</v>
      </c>
      <c r="H41" s="57" t="s">
        <v>218</v>
      </c>
      <c r="I41" s="57" t="s">
        <v>219</v>
      </c>
      <c r="J41" s="57" t="s">
        <v>220</v>
      </c>
      <c r="K41" s="57" t="s">
        <v>221</v>
      </c>
      <c r="L41" s="79"/>
      <c r="M41" s="20"/>
      <c r="N41" s="20"/>
      <c r="O41" s="20"/>
      <c r="P41" s="20"/>
      <c r="Q41" s="20"/>
      <c r="R41" s="20"/>
      <c r="S41" s="20"/>
      <c r="T41" s="20"/>
    </row>
    <row r="42" spans="1:20" ht="12.75" customHeight="1">
      <c r="A42" s="57" t="s">
        <v>222</v>
      </c>
      <c r="B42" s="130">
        <v>1</v>
      </c>
      <c r="C42" s="130">
        <v>8191</v>
      </c>
      <c r="D42" s="131"/>
      <c r="E42" s="130">
        <v>50</v>
      </c>
      <c r="F42" s="130">
        <v>4</v>
      </c>
      <c r="G42" s="130">
        <v>105</v>
      </c>
      <c r="H42" s="131"/>
      <c r="I42" s="131"/>
      <c r="J42" s="130">
        <v>-130</v>
      </c>
      <c r="K42" s="130">
        <v>-300</v>
      </c>
      <c r="L42" s="79"/>
      <c r="M42" s="20"/>
      <c r="N42" s="20"/>
      <c r="O42" s="20"/>
      <c r="P42" s="20"/>
      <c r="Q42" s="20"/>
      <c r="R42" s="20"/>
      <c r="S42" s="20"/>
      <c r="T42" s="20"/>
    </row>
    <row r="43" spans="1:20" ht="12.75" customHeight="1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20"/>
      <c r="M43" s="20"/>
      <c r="N43" s="20"/>
      <c r="O43" s="20"/>
      <c r="P43" s="20"/>
      <c r="Q43" s="20"/>
      <c r="R43" s="20"/>
      <c r="S43" s="20"/>
      <c r="T43" s="20"/>
    </row>
    <row r="44" spans="1:20" ht="12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</row>
    <row r="45" spans="1:20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</row>
    <row r="49" spans="1:20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</row>
    <row r="50" spans="1:2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</row>
    <row r="51" spans="1:20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</row>
    <row r="52" spans="1:20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</row>
    <row r="54" spans="1:20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</row>
    <row r="55" spans="1:20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</row>
    <row r="56" spans="1:20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</row>
    <row r="57" spans="1:20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</row>
    <row r="58" spans="1:20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</row>
    <row r="60" spans="1:2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</row>
    <row r="61" spans="1:20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</row>
    <row r="62" spans="1:20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</row>
    <row r="63" spans="1:20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</row>
    <row r="64" spans="1:20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</row>
    <row r="65" spans="1:20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</row>
    <row r="66" spans="1:20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</row>
    <row r="67" spans="1:20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</row>
    <row r="68" spans="1:20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</row>
    <row r="69" spans="1:20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</row>
    <row r="70" spans="1:2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</row>
    <row r="71" spans="1:20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</row>
    <row r="72" spans="1:20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</row>
    <row r="73" spans="1:20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</row>
    <row r="74" spans="1:20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</row>
    <row r="75" spans="1:20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</row>
    <row r="76" spans="1:20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</row>
    <row r="77" spans="1:20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</row>
    <row r="78" spans="1:20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</row>
    <row r="79" spans="1:20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</row>
    <row r="80" spans="1:2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</row>
    <row r="81" spans="1:20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</row>
    <row r="82" spans="1:20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</row>
    <row r="83" spans="1:20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</row>
    <row r="84" spans="1:20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</row>
    <row r="85" spans="1:20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</row>
    <row r="86" spans="1:20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</row>
    <row r="87" spans="1:20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</row>
    <row r="88" spans="1:20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</row>
    <row r="89" spans="1:20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</row>
    <row r="90" spans="1:2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</row>
    <row r="91" spans="1:20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</row>
    <row r="92" spans="1:20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</row>
    <row r="93" spans="1:20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</row>
    <row r="94" spans="1:20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</row>
    <row r="95" spans="1:20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</row>
    <row r="96" spans="1:20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</row>
    <row r="97" spans="1:20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</row>
    <row r="98" spans="1:20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</row>
    <row r="99" spans="1:20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</row>
    <row r="100" spans="1:2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</row>
    <row r="101" spans="1:20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</row>
    <row r="102" spans="1:20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</row>
    <row r="103" spans="1:20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</row>
    <row r="104" spans="1:20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K123"/>
  <sheetViews>
    <sheetView workbookViewId="0">
      <selection activeCell="A38" sqref="A38"/>
    </sheetView>
  </sheetViews>
  <sheetFormatPr defaultColWidth="14.42578125" defaultRowHeight="12.75" customHeight="1"/>
  <cols>
    <col min="1" max="1" width="14.5703125" customWidth="1"/>
    <col min="2" max="2" width="9.140625" customWidth="1"/>
    <col min="3" max="3" width="13" customWidth="1"/>
    <col min="4" max="4" width="17.42578125" customWidth="1"/>
    <col min="5" max="29" width="7.5703125" customWidth="1"/>
    <col min="30" max="30" width="14.28515625" customWidth="1"/>
    <col min="31" max="31" width="21.28515625" customWidth="1"/>
    <col min="32" max="32" width="15.140625" customWidth="1"/>
    <col min="33" max="37" width="12.42578125" customWidth="1"/>
  </cols>
  <sheetData>
    <row r="1" spans="1:37" ht="12.75" customHeight="1">
      <c r="A1" s="20"/>
      <c r="B1" s="20"/>
      <c r="C1" s="20"/>
      <c r="D1" s="2" t="s">
        <v>223</v>
      </c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</row>
    <row r="2" spans="1:37" ht="12.75" customHeight="1">
      <c r="A2" s="20"/>
      <c r="B2" s="20"/>
      <c r="C2" s="45"/>
      <c r="D2" s="132">
        <f>'Top Level'!A17</f>
        <v>1</v>
      </c>
      <c r="E2" s="132" t="str">
        <f>'Top Level'!A15</f>
        <v>low spur</v>
      </c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20"/>
      <c r="AE2" s="20"/>
      <c r="AF2" s="20"/>
      <c r="AG2" s="20"/>
      <c r="AH2" s="20"/>
      <c r="AI2" s="20"/>
      <c r="AJ2" s="20"/>
      <c r="AK2" s="20"/>
    </row>
    <row r="3" spans="1:37" ht="12.75" customHeight="1">
      <c r="A3" s="33" t="s">
        <v>224</v>
      </c>
      <c r="B3" s="2" t="s">
        <v>225</v>
      </c>
      <c r="C3" s="133" t="str">
        <f>'Top Level'!B1</f>
        <v>MAX2771_hi</v>
      </c>
      <c r="D3" s="65">
        <f>'Top Level'!A17</f>
        <v>1</v>
      </c>
      <c r="E3" s="134">
        <f>IF(D2=1,IF(E2="low noise",1,0),0)</f>
        <v>0</v>
      </c>
      <c r="F3" s="57" t="s">
        <v>212</v>
      </c>
      <c r="G3" s="57" t="s">
        <v>213</v>
      </c>
      <c r="H3" s="57" t="s">
        <v>214</v>
      </c>
      <c r="I3" s="57" t="s">
        <v>215</v>
      </c>
      <c r="J3" s="57" t="s">
        <v>216</v>
      </c>
      <c r="K3" s="57" t="s">
        <v>217</v>
      </c>
      <c r="L3" s="57" t="s">
        <v>218</v>
      </c>
      <c r="M3" s="57" t="s">
        <v>219</v>
      </c>
      <c r="N3" s="57" t="s">
        <v>143</v>
      </c>
      <c r="O3" s="57" t="s">
        <v>226</v>
      </c>
      <c r="P3" s="57" t="s">
        <v>227</v>
      </c>
      <c r="Q3" s="57" t="s">
        <v>228</v>
      </c>
      <c r="R3" s="57" t="s">
        <v>229</v>
      </c>
      <c r="S3" s="57" t="s">
        <v>230</v>
      </c>
      <c r="T3" s="57" t="s">
        <v>231</v>
      </c>
      <c r="U3" s="57" t="s">
        <v>232</v>
      </c>
      <c r="V3" s="57" t="s">
        <v>227</v>
      </c>
      <c r="W3" s="57" t="s">
        <v>228</v>
      </c>
      <c r="X3" s="57" t="s">
        <v>229</v>
      </c>
      <c r="Y3" s="57" t="s">
        <v>230</v>
      </c>
      <c r="Z3" s="57" t="s">
        <v>231</v>
      </c>
      <c r="AA3" s="57" t="s">
        <v>233</v>
      </c>
      <c r="AB3" s="57" t="s">
        <v>234</v>
      </c>
      <c r="AC3" s="57" t="s">
        <v>235</v>
      </c>
      <c r="AD3" s="135" t="s">
        <v>236</v>
      </c>
      <c r="AE3" s="79"/>
      <c r="AF3" s="20" t="str">
        <f t="shared" ref="AF3:AH3" si="0">AF21</f>
        <v>r3/c3 internal flag:
0: NO, LIKE2870
1: YES, LIKE2769</v>
      </c>
      <c r="AG3" s="20" t="str">
        <f t="shared" si="0"/>
        <v>R3 (k OHM)</v>
      </c>
      <c r="AH3" s="20" t="str">
        <f t="shared" si="0"/>
        <v>C3 (Nf)</v>
      </c>
      <c r="AI3" s="20"/>
      <c r="AJ3" s="20"/>
      <c r="AK3" s="20"/>
    </row>
    <row r="4" spans="1:37" ht="12.75" customHeight="1">
      <c r="A4" s="57" t="s">
        <v>237</v>
      </c>
      <c r="B4" s="79"/>
      <c r="C4" s="76"/>
      <c r="D4" s="65" t="str">
        <f>CONCATENATE(C3,D3,E3)</f>
        <v>MAX2771_hi10</v>
      </c>
      <c r="E4" s="136">
        <f>VLOOKUP(D4,D23:E41,2,0)</f>
        <v>14</v>
      </c>
      <c r="F4" s="65">
        <f t="shared" ref="F4:AA4" si="1">VLOOKUP($E4,$E$23:$AA$41,F20,0)</f>
        <v>36</v>
      </c>
      <c r="G4" s="65">
        <f t="shared" si="1"/>
        <v>32767</v>
      </c>
      <c r="H4" s="65">
        <f t="shared" si="1"/>
        <v>0.05</v>
      </c>
      <c r="I4" s="65">
        <f t="shared" si="1"/>
        <v>32</v>
      </c>
      <c r="J4" s="65">
        <f t="shared" si="1"/>
        <v>8</v>
      </c>
      <c r="K4" s="65">
        <f t="shared" si="1"/>
        <v>44</v>
      </c>
      <c r="L4" s="65">
        <f t="shared" si="1"/>
        <v>1525</v>
      </c>
      <c r="M4" s="65">
        <f t="shared" si="1"/>
        <v>1610</v>
      </c>
      <c r="N4" s="65">
        <f t="shared" si="1"/>
        <v>0</v>
      </c>
      <c r="O4" s="65">
        <f t="shared" si="1"/>
        <v>0</v>
      </c>
      <c r="P4" s="65">
        <f t="shared" si="1"/>
        <v>-193</v>
      </c>
      <c r="Q4" s="65">
        <f t="shared" si="1"/>
        <v>0</v>
      </c>
      <c r="R4" s="65">
        <f t="shared" si="1"/>
        <v>0</v>
      </c>
      <c r="S4" s="65">
        <f t="shared" si="1"/>
        <v>0</v>
      </c>
      <c r="T4" s="65">
        <f t="shared" si="1"/>
        <v>0</v>
      </c>
      <c r="U4" s="65">
        <f t="shared" si="1"/>
        <v>0</v>
      </c>
      <c r="V4" s="65">
        <f t="shared" si="1"/>
        <v>-100</v>
      </c>
      <c r="W4" s="65">
        <f t="shared" si="1"/>
        <v>0</v>
      </c>
      <c r="X4" s="65">
        <f t="shared" si="1"/>
        <v>0</v>
      </c>
      <c r="Y4" s="65">
        <f t="shared" si="1"/>
        <v>0</v>
      </c>
      <c r="Z4" s="65">
        <f t="shared" si="1"/>
        <v>0</v>
      </c>
      <c r="AA4" s="65">
        <f t="shared" si="1"/>
        <v>10</v>
      </c>
      <c r="AB4" s="137">
        <f t="shared" ref="AB4:AC4" si="2">VLOOKUP($E4,$E$23:$AC$41,AB20,0)</f>
        <v>1</v>
      </c>
      <c r="AC4" s="65">
        <f t="shared" si="2"/>
        <v>70</v>
      </c>
      <c r="AD4" s="65">
        <f t="shared" ref="AD4:AI4" si="3">VLOOKUP($E4,$E$23:$AI$41,AD20,0)</f>
        <v>0</v>
      </c>
      <c r="AE4" s="65">
        <f t="shared" si="3"/>
        <v>0</v>
      </c>
      <c r="AF4" s="65">
        <f t="shared" si="3"/>
        <v>1</v>
      </c>
      <c r="AG4" s="65">
        <f t="shared" si="3"/>
        <v>3</v>
      </c>
      <c r="AH4" s="65">
        <f t="shared" si="3"/>
        <v>3.1E-2</v>
      </c>
      <c r="AI4" s="65">
        <f t="shared" si="3"/>
        <v>0</v>
      </c>
      <c r="AJ4" s="20"/>
      <c r="AK4" s="20"/>
    </row>
    <row r="5" spans="1:37" ht="12.75" customHeight="1">
      <c r="A5" s="57" t="s">
        <v>238</v>
      </c>
      <c r="B5" s="79"/>
      <c r="C5" s="20"/>
      <c r="D5" s="55"/>
      <c r="E5" s="55"/>
      <c r="F5" s="55"/>
      <c r="G5" s="55"/>
      <c r="H5" s="63"/>
      <c r="I5" s="63"/>
      <c r="J5" s="63"/>
      <c r="K5" s="63"/>
      <c r="L5" s="63"/>
      <c r="M5" s="55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20"/>
      <c r="AE5" s="20"/>
      <c r="AF5" s="20"/>
      <c r="AG5" s="20"/>
      <c r="AH5" s="20"/>
      <c r="AI5" s="20"/>
      <c r="AJ5" s="20"/>
      <c r="AK5" s="20"/>
    </row>
    <row r="6" spans="1:37" ht="12.75" customHeight="1">
      <c r="A6" s="57" t="s">
        <v>239</v>
      </c>
      <c r="B6" s="79"/>
      <c r="C6" s="16"/>
      <c r="D6" s="57" t="s">
        <v>240</v>
      </c>
      <c r="E6" s="57" t="s">
        <v>38</v>
      </c>
      <c r="F6" s="57" t="s">
        <v>196</v>
      </c>
      <c r="G6" s="57" t="s">
        <v>197</v>
      </c>
      <c r="H6" s="79"/>
      <c r="I6" s="20"/>
      <c r="J6" s="20"/>
      <c r="K6" s="20"/>
      <c r="L6" s="20"/>
      <c r="M6" s="63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</row>
    <row r="7" spans="1:37" ht="12.75" customHeight="1">
      <c r="A7" s="57" t="s">
        <v>241</v>
      </c>
      <c r="B7" s="79"/>
      <c r="C7" s="16"/>
      <c r="D7" s="108"/>
      <c r="E7" s="65">
        <f>'vco raw data'!T14</f>
        <v>42</v>
      </c>
      <c r="F7" s="65">
        <f>'vco raw data'!U14</f>
        <v>7890</v>
      </c>
      <c r="G7" s="65">
        <f>'vco raw data'!V14</f>
        <v>8010</v>
      </c>
      <c r="H7" s="79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</row>
    <row r="8" spans="1:37" ht="12.75" customHeight="1">
      <c r="A8" s="57" t="s">
        <v>242</v>
      </c>
      <c r="B8" s="79"/>
      <c r="C8" s="20"/>
      <c r="D8" s="55"/>
      <c r="E8" s="55"/>
      <c r="F8" s="55"/>
      <c r="G8" s="55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</row>
    <row r="9" spans="1:37" ht="12.75" customHeight="1">
      <c r="A9" s="57" t="s">
        <v>243</v>
      </c>
      <c r="B9" s="79"/>
      <c r="C9" s="16"/>
      <c r="D9" s="57" t="s">
        <v>244</v>
      </c>
      <c r="E9" s="57" t="s">
        <v>38</v>
      </c>
      <c r="F9" s="57" t="s">
        <v>196</v>
      </c>
      <c r="G9" s="57" t="s">
        <v>197</v>
      </c>
      <c r="H9" s="79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</row>
    <row r="10" spans="1:37" ht="12.75" customHeight="1">
      <c r="A10" s="59" t="s">
        <v>1</v>
      </c>
      <c r="B10" s="79"/>
      <c r="C10" s="16"/>
      <c r="D10" s="108"/>
      <c r="E10" s="65">
        <f>IF($AB$4=0,E7,$AC$4)</f>
        <v>70</v>
      </c>
      <c r="F10" s="65">
        <f t="shared" ref="F10:G10" si="4">IF($AB$4=0,F7,L4)</f>
        <v>1525</v>
      </c>
      <c r="G10" s="65">
        <f t="shared" si="4"/>
        <v>1610</v>
      </c>
      <c r="H10" s="79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</row>
    <row r="11" spans="1:37" ht="12.75" customHeight="1">
      <c r="A11" s="108" t="s">
        <v>620</v>
      </c>
      <c r="B11" s="79"/>
      <c r="C11" s="20"/>
      <c r="D11" s="63"/>
      <c r="E11" s="63"/>
      <c r="F11" s="63"/>
      <c r="G11" s="63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</row>
    <row r="12" spans="1:37" ht="12.75" customHeight="1">
      <c r="A12" s="108" t="s">
        <v>621</v>
      </c>
      <c r="B12" s="79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</row>
    <row r="13" spans="1:37" ht="12.75" customHeight="1">
      <c r="A13" s="108"/>
      <c r="B13" s="79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</row>
    <row r="14" spans="1:37" ht="12.75" customHeight="1">
      <c r="A14" s="108"/>
      <c r="B14" s="79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2.75" customHeight="1">
      <c r="A15" s="108"/>
      <c r="B15" s="79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2.75" customHeight="1">
      <c r="A16" s="108"/>
      <c r="B16" s="79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</row>
    <row r="17" spans="1:37" ht="12.75" customHeight="1">
      <c r="A17" s="57" t="s">
        <v>245</v>
      </c>
      <c r="B17" s="79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</row>
    <row r="18" spans="1:37" ht="12.75" customHeight="1">
      <c r="A18" s="63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</row>
    <row r="19" spans="1:37" ht="12.75" customHeight="1">
      <c r="A19" s="128" t="s">
        <v>246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20"/>
      <c r="AJ19" s="20"/>
      <c r="AK19" s="20"/>
    </row>
    <row r="20" spans="1:37" ht="12.75" customHeight="1">
      <c r="A20" s="108"/>
      <c r="B20" s="108"/>
      <c r="C20" s="108"/>
      <c r="D20" s="108"/>
      <c r="E20" s="108"/>
      <c r="F20" s="57">
        <v>2</v>
      </c>
      <c r="G20" s="57">
        <v>3</v>
      </c>
      <c r="H20" s="57">
        <v>4</v>
      </c>
      <c r="I20" s="57">
        <v>5</v>
      </c>
      <c r="J20" s="57">
        <v>6</v>
      </c>
      <c r="K20" s="57">
        <v>7</v>
      </c>
      <c r="L20" s="57">
        <v>8</v>
      </c>
      <c r="M20" s="57">
        <v>9</v>
      </c>
      <c r="N20" s="57">
        <v>10</v>
      </c>
      <c r="O20" s="57">
        <v>11</v>
      </c>
      <c r="P20" s="57">
        <v>12</v>
      </c>
      <c r="Q20" s="57">
        <v>13</v>
      </c>
      <c r="R20" s="57">
        <v>14</v>
      </c>
      <c r="S20" s="57">
        <v>15</v>
      </c>
      <c r="T20" s="57">
        <v>16</v>
      </c>
      <c r="U20" s="57">
        <v>17</v>
      </c>
      <c r="V20" s="57">
        <v>18</v>
      </c>
      <c r="W20" s="57">
        <v>19</v>
      </c>
      <c r="X20" s="57">
        <v>20</v>
      </c>
      <c r="Y20" s="57">
        <v>21</v>
      </c>
      <c r="Z20" s="57">
        <v>22</v>
      </c>
      <c r="AA20" s="57">
        <v>23</v>
      </c>
      <c r="AB20" s="57">
        <v>24</v>
      </c>
      <c r="AC20" s="57">
        <v>25</v>
      </c>
      <c r="AD20" s="66">
        <v>26</v>
      </c>
      <c r="AE20" s="139">
        <v>27</v>
      </c>
      <c r="AF20" s="66">
        <v>28</v>
      </c>
      <c r="AG20" s="139">
        <v>29</v>
      </c>
      <c r="AH20" s="66">
        <v>30</v>
      </c>
      <c r="AI20" s="139">
        <v>31</v>
      </c>
      <c r="AJ20" s="20"/>
      <c r="AK20" s="20"/>
    </row>
    <row r="21" spans="1:37" ht="12.75" customHeight="1">
      <c r="A21" s="108"/>
      <c r="B21" s="57" t="s">
        <v>247</v>
      </c>
      <c r="C21" s="57" t="s">
        <v>248</v>
      </c>
      <c r="D21" s="108"/>
      <c r="E21" s="108"/>
      <c r="F21" s="462" t="s">
        <v>249</v>
      </c>
      <c r="G21" s="463"/>
      <c r="H21" s="463"/>
      <c r="I21" s="463"/>
      <c r="J21" s="463"/>
      <c r="K21" s="463"/>
      <c r="L21" s="463"/>
      <c r="M21" s="464"/>
      <c r="N21" s="57" t="s">
        <v>250</v>
      </c>
      <c r="O21" s="465" t="s">
        <v>251</v>
      </c>
      <c r="P21" s="463"/>
      <c r="Q21" s="463"/>
      <c r="R21" s="463"/>
      <c r="S21" s="463"/>
      <c r="T21" s="464"/>
      <c r="U21" s="466" t="s">
        <v>252</v>
      </c>
      <c r="V21" s="463"/>
      <c r="W21" s="463"/>
      <c r="X21" s="463"/>
      <c r="Y21" s="463"/>
      <c r="Z21" s="463"/>
      <c r="AA21" s="464"/>
      <c r="AB21" s="57" t="s">
        <v>253</v>
      </c>
      <c r="AC21" s="108"/>
      <c r="AD21" s="79"/>
      <c r="AE21" s="20"/>
      <c r="AF21" s="77" t="s">
        <v>254</v>
      </c>
      <c r="AG21" s="77" t="s">
        <v>255</v>
      </c>
      <c r="AH21" s="77" t="s">
        <v>256</v>
      </c>
      <c r="AI21" s="20"/>
      <c r="AJ21" s="20"/>
      <c r="AK21" s="20"/>
    </row>
    <row r="22" spans="1:37" ht="12.75" customHeight="1">
      <c r="A22" s="57" t="s">
        <v>257</v>
      </c>
      <c r="B22" s="57" t="s">
        <v>258</v>
      </c>
      <c r="C22" s="57" t="s">
        <v>259</v>
      </c>
      <c r="D22" s="108"/>
      <c r="E22" s="57" t="s">
        <v>260</v>
      </c>
      <c r="F22" s="57" t="s">
        <v>212</v>
      </c>
      <c r="G22" s="57" t="s">
        <v>213</v>
      </c>
      <c r="H22" s="57" t="s">
        <v>214</v>
      </c>
      <c r="I22" s="57" t="s">
        <v>215</v>
      </c>
      <c r="J22" s="57" t="s">
        <v>216</v>
      </c>
      <c r="K22" s="57" t="s">
        <v>217</v>
      </c>
      <c r="L22" s="57" t="s">
        <v>218</v>
      </c>
      <c r="M22" s="57" t="s">
        <v>219</v>
      </c>
      <c r="N22" s="57" t="s">
        <v>143</v>
      </c>
      <c r="O22" s="57" t="s">
        <v>232</v>
      </c>
      <c r="P22" s="57" t="s">
        <v>227</v>
      </c>
      <c r="Q22" s="57" t="s">
        <v>228</v>
      </c>
      <c r="R22" s="57" t="s">
        <v>229</v>
      </c>
      <c r="S22" s="57" t="s">
        <v>230</v>
      </c>
      <c r="T22" s="57" t="s">
        <v>231</v>
      </c>
      <c r="U22" s="57" t="s">
        <v>232</v>
      </c>
      <c r="V22" s="57" t="s">
        <v>227</v>
      </c>
      <c r="W22" s="57" t="s">
        <v>228</v>
      </c>
      <c r="X22" s="57" t="s">
        <v>229</v>
      </c>
      <c r="Y22" s="57" t="s">
        <v>230</v>
      </c>
      <c r="Z22" s="57" t="s">
        <v>231</v>
      </c>
      <c r="AA22" s="57" t="s">
        <v>233</v>
      </c>
      <c r="AB22" s="140" t="s">
        <v>234</v>
      </c>
      <c r="AC22" s="57" t="s">
        <v>235</v>
      </c>
      <c r="AD22" s="135" t="s">
        <v>236</v>
      </c>
      <c r="AE22" s="51" t="s">
        <v>261</v>
      </c>
      <c r="AF22" s="20"/>
      <c r="AG22" s="20"/>
      <c r="AH22" s="20"/>
      <c r="AI22" s="20"/>
      <c r="AJ22" s="20"/>
      <c r="AK22" s="20"/>
    </row>
    <row r="23" spans="1:37" ht="12.75" customHeight="1">
      <c r="A23" s="141" t="s">
        <v>237</v>
      </c>
      <c r="B23" s="142">
        <v>1</v>
      </c>
      <c r="C23" s="142">
        <v>0</v>
      </c>
      <c r="D23" s="143" t="str">
        <f t="shared" ref="D23:D36" si="5">CONCATENATE(A23,B23,C23)</f>
        <v>MAX287010</v>
      </c>
      <c r="E23" s="142">
        <v>0</v>
      </c>
      <c r="F23" s="142">
        <v>19</v>
      </c>
      <c r="G23" s="142">
        <v>4091</v>
      </c>
      <c r="H23" s="142">
        <v>0</v>
      </c>
      <c r="I23" s="142">
        <v>50</v>
      </c>
      <c r="J23" s="142">
        <v>10</v>
      </c>
      <c r="K23" s="142">
        <v>200</v>
      </c>
      <c r="L23" s="142">
        <v>3000</v>
      </c>
      <c r="M23" s="142">
        <v>6000</v>
      </c>
      <c r="N23" s="142">
        <v>1</v>
      </c>
      <c r="O23" s="142">
        <v>1</v>
      </c>
      <c r="P23" s="142">
        <v>-226.4</v>
      </c>
      <c r="Q23" s="142">
        <v>-9.7699999999999995E-2</v>
      </c>
      <c r="R23" s="142">
        <v>1.4158999999999999</v>
      </c>
      <c r="S23" s="142">
        <v>-7.0327000000000002</v>
      </c>
      <c r="T23" s="142">
        <v>-210.62</v>
      </c>
      <c r="U23" s="142">
        <v>1</v>
      </c>
      <c r="V23" s="142">
        <v>-116</v>
      </c>
      <c r="W23" s="142">
        <v>-8.6099999999999996E-2</v>
      </c>
      <c r="X23" s="142">
        <v>0.92290000000000005</v>
      </c>
      <c r="Y23" s="142">
        <v>-3.1987000000000001</v>
      </c>
      <c r="Z23" s="142">
        <v>-112.87</v>
      </c>
      <c r="AA23" s="142">
        <v>10</v>
      </c>
      <c r="AB23" s="142">
        <v>1</v>
      </c>
      <c r="AC23" s="142">
        <v>100</v>
      </c>
      <c r="AD23" s="144" t="str">
        <f>'register out'!A23</f>
        <v>0301CB6E</v>
      </c>
      <c r="AE23" s="51" t="s">
        <v>262</v>
      </c>
      <c r="AF23" s="77">
        <v>0</v>
      </c>
      <c r="AG23" s="20"/>
      <c r="AH23" s="20"/>
      <c r="AI23" s="20"/>
      <c r="AJ23" s="20"/>
      <c r="AK23" s="20"/>
    </row>
    <row r="24" spans="1:37" ht="12.75" customHeight="1">
      <c r="A24" s="141" t="s">
        <v>237</v>
      </c>
      <c r="B24" s="142">
        <v>1</v>
      </c>
      <c r="C24" s="142">
        <v>1</v>
      </c>
      <c r="D24" s="143" t="str">
        <f t="shared" si="5"/>
        <v>MAX287011</v>
      </c>
      <c r="E24" s="142">
        <v>1</v>
      </c>
      <c r="F24" s="142">
        <v>19</v>
      </c>
      <c r="G24" s="142">
        <v>4091</v>
      </c>
      <c r="H24" s="142">
        <v>0</v>
      </c>
      <c r="I24" s="142">
        <v>50</v>
      </c>
      <c r="J24" s="142">
        <v>10</v>
      </c>
      <c r="K24" s="142">
        <v>200</v>
      </c>
      <c r="L24" s="142">
        <v>3000</v>
      </c>
      <c r="M24" s="142">
        <v>6000</v>
      </c>
      <c r="N24" s="142">
        <v>1</v>
      </c>
      <c r="O24" s="142">
        <v>1</v>
      </c>
      <c r="P24" s="142">
        <v>-226.4</v>
      </c>
      <c r="Q24" s="142">
        <v>-9.7699999999999995E-2</v>
      </c>
      <c r="R24" s="142">
        <v>1.4158999999999999</v>
      </c>
      <c r="S24" s="142">
        <v>-7.0327000000000002</v>
      </c>
      <c r="T24" s="142">
        <v>-210.62</v>
      </c>
      <c r="U24" s="142">
        <v>1</v>
      </c>
      <c r="V24" s="142">
        <v>-116</v>
      </c>
      <c r="W24" s="142">
        <v>-8.6099999999999996E-2</v>
      </c>
      <c r="X24" s="142">
        <v>0.92290000000000005</v>
      </c>
      <c r="Y24" s="142">
        <v>-3.1987000000000001</v>
      </c>
      <c r="Z24" s="142">
        <v>-112.87</v>
      </c>
      <c r="AA24" s="142">
        <v>10</v>
      </c>
      <c r="AB24" s="142">
        <v>1</v>
      </c>
      <c r="AC24" s="142">
        <v>100</v>
      </c>
      <c r="AD24" s="144" t="str">
        <f>'register out'!A23</f>
        <v>0301CB6E</v>
      </c>
      <c r="AE24" s="51" t="s">
        <v>262</v>
      </c>
      <c r="AF24" s="77">
        <v>0</v>
      </c>
      <c r="AG24" s="20"/>
      <c r="AH24" s="20"/>
      <c r="AI24" s="20"/>
      <c r="AJ24" s="20"/>
      <c r="AK24" s="20"/>
    </row>
    <row r="25" spans="1:37" ht="12.75" customHeight="1">
      <c r="A25" s="141" t="s">
        <v>237</v>
      </c>
      <c r="B25" s="142">
        <v>0</v>
      </c>
      <c r="C25" s="142">
        <v>0</v>
      </c>
      <c r="D25" s="143" t="str">
        <f t="shared" si="5"/>
        <v>MAX287000</v>
      </c>
      <c r="E25" s="142">
        <v>2</v>
      </c>
      <c r="F25" s="142">
        <v>16</v>
      </c>
      <c r="G25" s="142">
        <v>65535</v>
      </c>
      <c r="H25" s="142">
        <v>0</v>
      </c>
      <c r="I25" s="142">
        <v>105</v>
      </c>
      <c r="J25" s="142">
        <v>10</v>
      </c>
      <c r="K25" s="142">
        <v>200</v>
      </c>
      <c r="L25" s="142">
        <v>3000</v>
      </c>
      <c r="M25" s="142">
        <v>6000</v>
      </c>
      <c r="N25" s="142">
        <v>1</v>
      </c>
      <c r="O25" s="142">
        <v>1</v>
      </c>
      <c r="P25" s="142">
        <v>-226.4</v>
      </c>
      <c r="Q25" s="142">
        <v>-9.7699999999999995E-2</v>
      </c>
      <c r="R25" s="142">
        <v>1.4158999999999999</v>
      </c>
      <c r="S25" s="142">
        <v>-7.0327000000000002</v>
      </c>
      <c r="T25" s="142">
        <v>-210.62</v>
      </c>
      <c r="U25" s="142">
        <v>1</v>
      </c>
      <c r="V25" s="142">
        <v>-116</v>
      </c>
      <c r="W25" s="142">
        <v>-8.6099999999999996E-2</v>
      </c>
      <c r="X25" s="142">
        <v>0.92290000000000005</v>
      </c>
      <c r="Y25" s="142">
        <v>-3.1987000000000001</v>
      </c>
      <c r="Z25" s="142">
        <v>-112.87</v>
      </c>
      <c r="AA25" s="142">
        <v>10</v>
      </c>
      <c r="AB25" s="142">
        <v>1</v>
      </c>
      <c r="AC25" s="142">
        <v>100</v>
      </c>
      <c r="AD25" s="144" t="str">
        <f>'register out'!A23</f>
        <v>0301CB6E</v>
      </c>
      <c r="AE25" s="51" t="s">
        <v>263</v>
      </c>
      <c r="AF25" s="77">
        <v>0</v>
      </c>
      <c r="AG25" s="20"/>
      <c r="AH25" s="20"/>
      <c r="AI25" s="20"/>
      <c r="AJ25" s="20"/>
      <c r="AK25" s="20"/>
    </row>
    <row r="26" spans="1:37" ht="12.75" customHeight="1">
      <c r="A26" s="145" t="s">
        <v>238</v>
      </c>
      <c r="B26" s="142">
        <v>1</v>
      </c>
      <c r="C26" s="142">
        <v>0</v>
      </c>
      <c r="D26" s="143" t="str">
        <f t="shared" si="5"/>
        <v>MAX288010</v>
      </c>
      <c r="E26" s="142">
        <v>3</v>
      </c>
      <c r="F26" s="142">
        <v>19</v>
      </c>
      <c r="G26" s="142">
        <v>4091</v>
      </c>
      <c r="H26" s="142">
        <v>0</v>
      </c>
      <c r="I26" s="142">
        <v>105</v>
      </c>
      <c r="J26" s="142">
        <v>10</v>
      </c>
      <c r="K26" s="142">
        <v>205</v>
      </c>
      <c r="L26" s="142">
        <v>250</v>
      </c>
      <c r="M26" s="142">
        <v>12400</v>
      </c>
      <c r="N26" s="142">
        <v>0</v>
      </c>
      <c r="O26" s="142">
        <v>0</v>
      </c>
      <c r="P26" s="142">
        <v>-222</v>
      </c>
      <c r="Q26" s="146"/>
      <c r="R26" s="146"/>
      <c r="S26" s="146"/>
      <c r="T26" s="146"/>
      <c r="U26" s="142">
        <v>0</v>
      </c>
      <c r="V26" s="142">
        <v>-115</v>
      </c>
      <c r="W26" s="146"/>
      <c r="X26" s="146"/>
      <c r="Y26" s="146"/>
      <c r="Z26" s="146"/>
      <c r="AA26" s="142">
        <v>10</v>
      </c>
      <c r="AB26" s="142">
        <v>0</v>
      </c>
      <c r="AC26" s="146"/>
      <c r="AD26" s="144" t="str">
        <f>'register out'!A48</f>
        <v>03018000</v>
      </c>
      <c r="AE26" s="51" t="s">
        <v>98</v>
      </c>
      <c r="AF26" s="77">
        <v>0</v>
      </c>
      <c r="AG26" s="20"/>
      <c r="AH26" s="20"/>
      <c r="AI26" s="20"/>
      <c r="AJ26" s="20"/>
      <c r="AK26" s="20"/>
    </row>
    <row r="27" spans="1:37" ht="12.75" customHeight="1">
      <c r="A27" s="145" t="s">
        <v>238</v>
      </c>
      <c r="B27" s="142">
        <v>1</v>
      </c>
      <c r="C27" s="142">
        <v>1</v>
      </c>
      <c r="D27" s="143" t="str">
        <f t="shared" si="5"/>
        <v>MAX288011</v>
      </c>
      <c r="E27" s="142">
        <v>4</v>
      </c>
      <c r="F27" s="142">
        <v>19</v>
      </c>
      <c r="G27" s="142">
        <v>4091</v>
      </c>
      <c r="H27" s="142">
        <v>0</v>
      </c>
      <c r="I27" s="142">
        <v>105</v>
      </c>
      <c r="J27" s="142">
        <v>10</v>
      </c>
      <c r="K27" s="142">
        <v>205</v>
      </c>
      <c r="L27" s="142">
        <v>250</v>
      </c>
      <c r="M27" s="142">
        <v>12400</v>
      </c>
      <c r="N27" s="142">
        <v>0</v>
      </c>
      <c r="O27" s="142">
        <v>0</v>
      </c>
      <c r="P27" s="142">
        <v>-227</v>
      </c>
      <c r="Q27" s="146"/>
      <c r="R27" s="146"/>
      <c r="S27" s="146"/>
      <c r="T27" s="146"/>
      <c r="U27" s="142">
        <v>0</v>
      </c>
      <c r="V27" s="142">
        <v>-119</v>
      </c>
      <c r="W27" s="146"/>
      <c r="X27" s="146"/>
      <c r="Y27" s="146"/>
      <c r="Z27" s="146"/>
      <c r="AA27" s="142">
        <v>10</v>
      </c>
      <c r="AB27" s="142">
        <v>0</v>
      </c>
      <c r="AC27" s="146"/>
      <c r="AD27" s="144" t="str">
        <f>'register out'!A48</f>
        <v>03018000</v>
      </c>
      <c r="AE27" s="51" t="s">
        <v>98</v>
      </c>
      <c r="AF27" s="77">
        <v>0</v>
      </c>
      <c r="AG27" s="20"/>
      <c r="AH27" s="20"/>
      <c r="AI27" s="20"/>
      <c r="AJ27" s="20"/>
      <c r="AK27" s="20"/>
    </row>
    <row r="28" spans="1:37" ht="12.75" customHeight="1">
      <c r="A28" s="145" t="s">
        <v>238</v>
      </c>
      <c r="B28" s="142">
        <v>0</v>
      </c>
      <c r="C28" s="142">
        <v>0</v>
      </c>
      <c r="D28" s="143" t="str">
        <f t="shared" si="5"/>
        <v>MAX288000</v>
      </c>
      <c r="E28" s="142">
        <v>5</v>
      </c>
      <c r="F28" s="142">
        <v>16</v>
      </c>
      <c r="G28" s="142">
        <v>65535</v>
      </c>
      <c r="H28" s="142">
        <v>0</v>
      </c>
      <c r="I28" s="142">
        <v>140</v>
      </c>
      <c r="J28" s="142">
        <v>10</v>
      </c>
      <c r="K28" s="142">
        <v>205</v>
      </c>
      <c r="L28" s="142">
        <v>250</v>
      </c>
      <c r="M28" s="142">
        <v>12400</v>
      </c>
      <c r="N28" s="142">
        <v>0</v>
      </c>
      <c r="O28" s="142">
        <v>0</v>
      </c>
      <c r="P28" s="142">
        <v>-229</v>
      </c>
      <c r="Q28" s="146"/>
      <c r="R28" s="146"/>
      <c r="S28" s="146"/>
      <c r="T28" s="146"/>
      <c r="U28" s="142">
        <v>0</v>
      </c>
      <c r="V28" s="142">
        <v>-122</v>
      </c>
      <c r="W28" s="146"/>
      <c r="X28" s="146"/>
      <c r="Y28" s="146"/>
      <c r="Z28" s="146"/>
      <c r="AA28" s="142">
        <v>10</v>
      </c>
      <c r="AB28" s="142">
        <v>0</v>
      </c>
      <c r="AC28" s="146"/>
      <c r="AD28" s="144" t="str">
        <f>'register out'!A48</f>
        <v>03018000</v>
      </c>
      <c r="AE28" s="51" t="s">
        <v>98</v>
      </c>
      <c r="AF28" s="77">
        <v>0</v>
      </c>
      <c r="AG28" s="20"/>
      <c r="AH28" s="20"/>
      <c r="AI28" s="20"/>
      <c r="AJ28" s="20"/>
      <c r="AK28" s="20"/>
    </row>
    <row r="29" spans="1:37" ht="12.75" customHeight="1">
      <c r="A29" s="147" t="s">
        <v>239</v>
      </c>
      <c r="B29" s="148">
        <v>1</v>
      </c>
      <c r="C29" s="148">
        <v>0</v>
      </c>
      <c r="D29" s="149" t="str">
        <f t="shared" si="5"/>
        <v>MAX287110</v>
      </c>
      <c r="E29" s="142">
        <v>6</v>
      </c>
      <c r="F29" s="148">
        <v>19</v>
      </c>
      <c r="G29" s="148">
        <v>4091</v>
      </c>
      <c r="H29" s="148">
        <v>0</v>
      </c>
      <c r="I29" s="148">
        <v>125</v>
      </c>
      <c r="J29" s="148">
        <v>10</v>
      </c>
      <c r="K29" s="148">
        <v>205</v>
      </c>
      <c r="L29" s="148">
        <v>3000</v>
      </c>
      <c r="M29" s="148">
        <v>6000</v>
      </c>
      <c r="N29" s="148">
        <v>1</v>
      </c>
      <c r="O29" s="148">
        <v>0</v>
      </c>
      <c r="P29" s="150">
        <v>-229</v>
      </c>
      <c r="Q29" s="150">
        <v>-9.7699999999999995E-2</v>
      </c>
      <c r="R29" s="150">
        <v>1.4158999999999999</v>
      </c>
      <c r="S29" s="150">
        <v>-7.0327000000000002</v>
      </c>
      <c r="T29" s="151">
        <f t="shared" ref="T29:T31" si="6">-210.62-2.6</f>
        <v>-213.22</v>
      </c>
      <c r="U29" s="150">
        <v>0</v>
      </c>
      <c r="V29" s="150">
        <v>-122</v>
      </c>
      <c r="W29" s="150">
        <v>-8.6099999999999996E-2</v>
      </c>
      <c r="X29" s="150">
        <v>0.92290000000000005</v>
      </c>
      <c r="Y29" s="150">
        <v>-3.1987000000000001</v>
      </c>
      <c r="Z29" s="151">
        <f t="shared" ref="Z29:Z31" si="7">-112.87-6</f>
        <v>-118.87</v>
      </c>
      <c r="AA29" s="150">
        <v>10</v>
      </c>
      <c r="AB29" s="148">
        <v>1</v>
      </c>
      <c r="AC29" s="148">
        <v>100</v>
      </c>
      <c r="AD29" s="44"/>
      <c r="AE29" s="152" t="s">
        <v>264</v>
      </c>
      <c r="AF29" s="77">
        <v>0</v>
      </c>
      <c r="AG29" s="153"/>
      <c r="AH29" s="153"/>
      <c r="AI29" s="153"/>
      <c r="AJ29" s="153"/>
      <c r="AK29" s="153"/>
    </row>
    <row r="30" spans="1:37" ht="12.75" customHeight="1">
      <c r="A30" s="147" t="s">
        <v>239</v>
      </c>
      <c r="B30" s="148">
        <v>1</v>
      </c>
      <c r="C30" s="148">
        <v>1</v>
      </c>
      <c r="D30" s="149" t="str">
        <f t="shared" si="5"/>
        <v>MAX287111</v>
      </c>
      <c r="E30" s="142">
        <v>7</v>
      </c>
      <c r="F30" s="148">
        <v>19</v>
      </c>
      <c r="G30" s="148">
        <v>4091</v>
      </c>
      <c r="H30" s="148">
        <v>0</v>
      </c>
      <c r="I30" s="148">
        <v>125</v>
      </c>
      <c r="J30" s="148">
        <v>10</v>
      </c>
      <c r="K30" s="148">
        <v>205</v>
      </c>
      <c r="L30" s="148">
        <v>3000</v>
      </c>
      <c r="M30" s="148">
        <v>6000</v>
      </c>
      <c r="N30" s="148">
        <v>1</v>
      </c>
      <c r="O30" s="148">
        <v>0</v>
      </c>
      <c r="P30" s="150">
        <v>-229</v>
      </c>
      <c r="Q30" s="150">
        <v>-9.7699999999999995E-2</v>
      </c>
      <c r="R30" s="150">
        <v>1.4158999999999999</v>
      </c>
      <c r="S30" s="150">
        <v>-7.0327000000000002</v>
      </c>
      <c r="T30" s="151">
        <f t="shared" si="6"/>
        <v>-213.22</v>
      </c>
      <c r="U30" s="150">
        <v>0</v>
      </c>
      <c r="V30" s="150">
        <v>-122</v>
      </c>
      <c r="W30" s="150">
        <v>-8.6099999999999996E-2</v>
      </c>
      <c r="X30" s="150">
        <v>0.92290000000000005</v>
      </c>
      <c r="Y30" s="150">
        <v>-3.1987000000000001</v>
      </c>
      <c r="Z30" s="151">
        <f t="shared" si="7"/>
        <v>-118.87</v>
      </c>
      <c r="AA30" s="150">
        <v>10</v>
      </c>
      <c r="AB30" s="148">
        <v>1</v>
      </c>
      <c r="AC30" s="148">
        <v>100</v>
      </c>
      <c r="AD30" s="44"/>
      <c r="AE30" s="152" t="s">
        <v>264</v>
      </c>
      <c r="AF30" s="77">
        <v>0</v>
      </c>
      <c r="AG30" s="153"/>
      <c r="AH30" s="153"/>
      <c r="AI30" s="153"/>
      <c r="AJ30" s="153"/>
      <c r="AK30" s="153"/>
    </row>
    <row r="31" spans="1:37" ht="12.75" customHeight="1">
      <c r="A31" s="147" t="s">
        <v>239</v>
      </c>
      <c r="B31" s="148">
        <v>0</v>
      </c>
      <c r="C31" s="148">
        <v>0</v>
      </c>
      <c r="D31" s="149" t="str">
        <f t="shared" si="5"/>
        <v>MAX287100</v>
      </c>
      <c r="E31" s="142">
        <v>8</v>
      </c>
      <c r="F31" s="148">
        <v>16</v>
      </c>
      <c r="G31" s="148">
        <v>65535</v>
      </c>
      <c r="H31" s="148">
        <v>0</v>
      </c>
      <c r="I31" s="148">
        <v>140</v>
      </c>
      <c r="J31" s="148">
        <v>10</v>
      </c>
      <c r="K31" s="148">
        <v>205</v>
      </c>
      <c r="L31" s="148">
        <v>3000</v>
      </c>
      <c r="M31" s="148">
        <v>6000</v>
      </c>
      <c r="N31" s="148">
        <v>1</v>
      </c>
      <c r="O31" s="148">
        <v>0</v>
      </c>
      <c r="P31" s="150">
        <v>-229</v>
      </c>
      <c r="Q31" s="150">
        <v>-9.7699999999999995E-2</v>
      </c>
      <c r="R31" s="150">
        <v>1.4158999999999999</v>
      </c>
      <c r="S31" s="150">
        <v>-7.0327000000000002</v>
      </c>
      <c r="T31" s="151">
        <f t="shared" si="6"/>
        <v>-213.22</v>
      </c>
      <c r="U31" s="150">
        <v>0</v>
      </c>
      <c r="V31" s="150">
        <v>-122</v>
      </c>
      <c r="W31" s="150">
        <v>-8.6099999999999996E-2</v>
      </c>
      <c r="X31" s="150">
        <v>0.92290000000000005</v>
      </c>
      <c r="Y31" s="150">
        <v>-3.1987000000000001</v>
      </c>
      <c r="Z31" s="151">
        <f t="shared" si="7"/>
        <v>-118.87</v>
      </c>
      <c r="AA31" s="150">
        <v>10</v>
      </c>
      <c r="AB31" s="148">
        <v>1</v>
      </c>
      <c r="AC31" s="148">
        <v>100</v>
      </c>
      <c r="AD31" s="44"/>
      <c r="AE31" s="154"/>
      <c r="AF31" s="77">
        <v>0</v>
      </c>
      <c r="AG31" s="20"/>
      <c r="AH31" s="20"/>
      <c r="AI31" s="20"/>
      <c r="AJ31" s="20"/>
      <c r="AK31" s="20"/>
    </row>
    <row r="32" spans="1:37" ht="12.75" customHeight="1">
      <c r="A32" s="155" t="s">
        <v>241</v>
      </c>
      <c r="B32" s="148">
        <v>1</v>
      </c>
      <c r="C32" s="148">
        <v>0</v>
      </c>
      <c r="D32" s="149" t="str">
        <f t="shared" si="5"/>
        <v>MAX287510</v>
      </c>
      <c r="E32" s="142">
        <v>9</v>
      </c>
      <c r="F32" s="148">
        <v>19</v>
      </c>
      <c r="G32" s="148">
        <v>4091</v>
      </c>
      <c r="H32" s="148">
        <v>0</v>
      </c>
      <c r="I32" s="148">
        <v>105</v>
      </c>
      <c r="J32" s="148">
        <v>10</v>
      </c>
      <c r="K32" s="148">
        <v>205</v>
      </c>
      <c r="L32" s="148">
        <v>1500</v>
      </c>
      <c r="M32" s="148">
        <v>3000</v>
      </c>
      <c r="N32" s="148">
        <v>1</v>
      </c>
      <c r="O32" s="148">
        <v>0</v>
      </c>
      <c r="P32" s="150">
        <v>-230</v>
      </c>
      <c r="Q32" s="156"/>
      <c r="R32" s="156"/>
      <c r="S32" s="156"/>
      <c r="T32" s="156"/>
      <c r="U32" s="150">
        <v>0</v>
      </c>
      <c r="V32" s="150">
        <v>-122</v>
      </c>
      <c r="W32" s="156"/>
      <c r="X32" s="156"/>
      <c r="Y32" s="156"/>
      <c r="Z32" s="156"/>
      <c r="AA32" s="150">
        <v>10</v>
      </c>
      <c r="AB32" s="148">
        <v>1</v>
      </c>
      <c r="AC32" s="148">
        <v>100</v>
      </c>
      <c r="AD32" s="44"/>
      <c r="AE32" s="152" t="s">
        <v>264</v>
      </c>
      <c r="AF32" s="77">
        <v>0</v>
      </c>
      <c r="AG32" s="20"/>
      <c r="AH32" s="20"/>
      <c r="AI32" s="20"/>
      <c r="AJ32" s="20"/>
      <c r="AK32" s="20"/>
    </row>
    <row r="33" spans="1:37" ht="12.75" customHeight="1">
      <c r="A33" s="155" t="s">
        <v>241</v>
      </c>
      <c r="B33" s="148">
        <v>1</v>
      </c>
      <c r="C33" s="148">
        <v>1</v>
      </c>
      <c r="D33" s="149" t="str">
        <f t="shared" si="5"/>
        <v>MAX287511</v>
      </c>
      <c r="E33" s="142">
        <v>10</v>
      </c>
      <c r="F33" s="148">
        <v>19</v>
      </c>
      <c r="G33" s="148">
        <v>4091</v>
      </c>
      <c r="H33" s="148">
        <v>0</v>
      </c>
      <c r="I33" s="148">
        <v>105</v>
      </c>
      <c r="J33" s="148">
        <v>10</v>
      </c>
      <c r="K33" s="148">
        <v>205</v>
      </c>
      <c r="L33" s="148">
        <v>1500</v>
      </c>
      <c r="M33" s="148">
        <v>3000</v>
      </c>
      <c r="N33" s="148">
        <v>1</v>
      </c>
      <c r="O33" s="148">
        <v>0</v>
      </c>
      <c r="P33" s="150">
        <v>-230</v>
      </c>
      <c r="Q33" s="156"/>
      <c r="R33" s="156"/>
      <c r="S33" s="156"/>
      <c r="T33" s="156"/>
      <c r="U33" s="150">
        <v>0</v>
      </c>
      <c r="V33" s="150">
        <v>-122</v>
      </c>
      <c r="W33" s="156"/>
      <c r="X33" s="156"/>
      <c r="Y33" s="156"/>
      <c r="Z33" s="156"/>
      <c r="AA33" s="150">
        <v>10</v>
      </c>
      <c r="AB33" s="148">
        <v>1</v>
      </c>
      <c r="AC33" s="148">
        <v>100</v>
      </c>
      <c r="AD33" s="44"/>
      <c r="AE33" s="152" t="s">
        <v>264</v>
      </c>
      <c r="AF33" s="77">
        <v>0</v>
      </c>
      <c r="AG33" s="20"/>
      <c r="AH33" s="20"/>
      <c r="AI33" s="20"/>
      <c r="AJ33" s="20"/>
      <c r="AK33" s="20"/>
    </row>
    <row r="34" spans="1:37" ht="12.75" customHeight="1">
      <c r="A34" s="155" t="s">
        <v>241</v>
      </c>
      <c r="B34" s="148">
        <v>0</v>
      </c>
      <c r="C34" s="148">
        <v>0</v>
      </c>
      <c r="D34" s="149" t="str">
        <f t="shared" si="5"/>
        <v>MAX287500</v>
      </c>
      <c r="E34" s="142">
        <v>11</v>
      </c>
      <c r="F34" s="148">
        <v>16</v>
      </c>
      <c r="G34" s="148">
        <v>65535</v>
      </c>
      <c r="H34" s="148">
        <v>0</v>
      </c>
      <c r="I34" s="148">
        <v>140</v>
      </c>
      <c r="J34" s="148">
        <v>10</v>
      </c>
      <c r="K34" s="148">
        <v>205</v>
      </c>
      <c r="L34" s="148">
        <v>1500</v>
      </c>
      <c r="M34" s="148">
        <v>3000</v>
      </c>
      <c r="N34" s="148">
        <v>1</v>
      </c>
      <c r="O34" s="157">
        <v>0</v>
      </c>
      <c r="P34" s="150">
        <v>-230</v>
      </c>
      <c r="Q34" s="156"/>
      <c r="R34" s="156"/>
      <c r="S34" s="156"/>
      <c r="T34" s="156"/>
      <c r="U34" s="150">
        <v>0</v>
      </c>
      <c r="V34" s="150">
        <v>-122</v>
      </c>
      <c r="W34" s="156"/>
      <c r="X34" s="156"/>
      <c r="Y34" s="156"/>
      <c r="Z34" s="156"/>
      <c r="AA34" s="150">
        <v>10</v>
      </c>
      <c r="AB34" s="148">
        <v>1</v>
      </c>
      <c r="AC34" s="148">
        <v>100</v>
      </c>
      <c r="AD34" s="79"/>
      <c r="AE34" s="20"/>
      <c r="AF34" s="77">
        <v>0</v>
      </c>
      <c r="AG34" s="20"/>
      <c r="AH34" s="20"/>
      <c r="AI34" s="20"/>
      <c r="AJ34" s="20"/>
      <c r="AK34" s="20"/>
    </row>
    <row r="35" spans="1:37" ht="12.75" customHeight="1">
      <c r="A35" s="57" t="s">
        <v>242</v>
      </c>
      <c r="B35" s="57">
        <v>1</v>
      </c>
      <c r="C35" s="57">
        <v>0</v>
      </c>
      <c r="D35" s="149" t="str">
        <f t="shared" si="5"/>
        <v>ADF535510</v>
      </c>
      <c r="E35" s="142">
        <v>12</v>
      </c>
      <c r="F35" s="57">
        <v>23</v>
      </c>
      <c r="G35" s="57">
        <v>65535</v>
      </c>
      <c r="H35" s="57">
        <v>0</v>
      </c>
      <c r="I35" s="57">
        <v>125</v>
      </c>
      <c r="J35" s="57">
        <v>0</v>
      </c>
      <c r="K35" s="57">
        <v>500</v>
      </c>
      <c r="L35" s="57">
        <v>3400</v>
      </c>
      <c r="M35" s="57">
        <v>6800</v>
      </c>
      <c r="N35" s="57">
        <v>1</v>
      </c>
      <c r="O35" s="57">
        <v>0</v>
      </c>
      <c r="P35" s="57">
        <v>-226</v>
      </c>
      <c r="Q35" s="108"/>
      <c r="R35" s="108"/>
      <c r="S35" s="108"/>
      <c r="T35" s="108"/>
      <c r="U35" s="57">
        <v>0</v>
      </c>
      <c r="V35" s="158">
        <v>-116</v>
      </c>
      <c r="W35" s="108"/>
      <c r="X35" s="108"/>
      <c r="Y35" s="108"/>
      <c r="Z35" s="108"/>
      <c r="AA35" s="57">
        <v>10</v>
      </c>
      <c r="AB35" s="57">
        <v>1</v>
      </c>
      <c r="AC35" s="57">
        <v>15</v>
      </c>
      <c r="AD35" s="79"/>
      <c r="AE35" s="20"/>
      <c r="AF35" s="77">
        <v>0</v>
      </c>
      <c r="AG35" s="20"/>
      <c r="AH35" s="20"/>
      <c r="AI35" s="20"/>
      <c r="AJ35" s="20"/>
      <c r="AK35" s="20"/>
    </row>
    <row r="36" spans="1:37" ht="12.75" customHeight="1">
      <c r="A36" s="59" t="s">
        <v>1</v>
      </c>
      <c r="B36" s="59">
        <v>1</v>
      </c>
      <c r="C36" s="59">
        <v>0</v>
      </c>
      <c r="D36" s="149" t="str">
        <f t="shared" si="5"/>
        <v>MAX276910</v>
      </c>
      <c r="E36" s="142">
        <v>13</v>
      </c>
      <c r="F36" s="59">
        <v>36</v>
      </c>
      <c r="G36" s="59">
        <v>32767</v>
      </c>
      <c r="H36" s="59">
        <v>0.05</v>
      </c>
      <c r="I36" s="59">
        <v>32</v>
      </c>
      <c r="J36" s="59">
        <v>8</v>
      </c>
      <c r="K36" s="59">
        <v>44</v>
      </c>
      <c r="L36" s="59">
        <v>1550</v>
      </c>
      <c r="M36" s="59">
        <v>1610</v>
      </c>
      <c r="N36" s="59">
        <v>0</v>
      </c>
      <c r="O36" s="59">
        <v>0</v>
      </c>
      <c r="P36" s="59">
        <v>-193</v>
      </c>
      <c r="Q36" s="108"/>
      <c r="R36" s="108"/>
      <c r="S36" s="108"/>
      <c r="T36" s="108"/>
      <c r="U36" s="59">
        <v>0</v>
      </c>
      <c r="V36" s="59">
        <v>-100</v>
      </c>
      <c r="W36" s="108"/>
      <c r="X36" s="108"/>
      <c r="Y36" s="108"/>
      <c r="Z36" s="108"/>
      <c r="AA36" s="59">
        <v>10</v>
      </c>
      <c r="AB36" s="59">
        <v>1</v>
      </c>
      <c r="AC36" s="59">
        <v>57</v>
      </c>
      <c r="AD36" s="79"/>
      <c r="AE36" s="20"/>
      <c r="AF36" s="77">
        <v>1</v>
      </c>
      <c r="AG36" s="77">
        <v>3</v>
      </c>
      <c r="AH36" s="77">
        <v>3.1E-2</v>
      </c>
      <c r="AI36" s="20"/>
      <c r="AJ36" s="20"/>
      <c r="AK36" s="20"/>
    </row>
    <row r="37" spans="1:37" ht="12.75" customHeight="1">
      <c r="A37" s="108" t="s">
        <v>620</v>
      </c>
      <c r="B37" s="108">
        <v>1</v>
      </c>
      <c r="C37" s="108">
        <v>0</v>
      </c>
      <c r="D37" s="65" t="str">
        <f>CONCATENATE(A37,B37,C37)</f>
        <v>MAX2771_hi10</v>
      </c>
      <c r="E37" s="142">
        <v>14</v>
      </c>
      <c r="F37" s="108">
        <v>36</v>
      </c>
      <c r="G37" s="108">
        <v>32767</v>
      </c>
      <c r="H37" s="108">
        <v>0.05</v>
      </c>
      <c r="I37" s="108">
        <v>32</v>
      </c>
      <c r="J37" s="108">
        <v>8</v>
      </c>
      <c r="K37" s="108">
        <v>44</v>
      </c>
      <c r="L37" s="108">
        <v>1525</v>
      </c>
      <c r="M37" s="108">
        <v>1610</v>
      </c>
      <c r="N37" s="108">
        <v>0</v>
      </c>
      <c r="O37" s="108">
        <v>0</v>
      </c>
      <c r="P37" s="108">
        <v>-193</v>
      </c>
      <c r="Q37" s="108"/>
      <c r="R37" s="108"/>
      <c r="S37" s="108"/>
      <c r="T37" s="108"/>
      <c r="U37" s="108">
        <v>0</v>
      </c>
      <c r="V37" s="108">
        <v>-100</v>
      </c>
      <c r="W37" s="108"/>
      <c r="X37" s="108"/>
      <c r="Y37" s="108"/>
      <c r="Z37" s="108"/>
      <c r="AA37" s="108">
        <v>10</v>
      </c>
      <c r="AB37" s="108">
        <v>1</v>
      </c>
      <c r="AC37" s="108">
        <v>70</v>
      </c>
      <c r="AD37" s="79"/>
      <c r="AE37" s="20"/>
      <c r="AF37" s="20">
        <v>1</v>
      </c>
      <c r="AG37" s="20">
        <v>3</v>
      </c>
      <c r="AH37" s="430">
        <v>3.1E-2</v>
      </c>
      <c r="AI37" s="20"/>
      <c r="AJ37" s="20"/>
      <c r="AK37" s="20"/>
    </row>
    <row r="38" spans="1:37" ht="12.75" customHeight="1">
      <c r="A38" s="108" t="s">
        <v>621</v>
      </c>
      <c r="B38" s="108">
        <v>1</v>
      </c>
      <c r="C38" s="108">
        <v>0</v>
      </c>
      <c r="D38" s="65" t="str">
        <f>CONCATENATE(A38,B38,C38)</f>
        <v>MAX2771_lo10</v>
      </c>
      <c r="E38" s="142">
        <v>15</v>
      </c>
      <c r="F38" s="108">
        <v>36</v>
      </c>
      <c r="G38" s="108">
        <v>32767</v>
      </c>
      <c r="H38" s="108">
        <v>0.05</v>
      </c>
      <c r="I38" s="108">
        <v>32</v>
      </c>
      <c r="J38" s="108">
        <v>8</v>
      </c>
      <c r="K38" s="108">
        <v>44</v>
      </c>
      <c r="L38" s="108">
        <v>1160</v>
      </c>
      <c r="M38" s="108">
        <v>1290</v>
      </c>
      <c r="N38" s="108">
        <v>0</v>
      </c>
      <c r="O38" s="108">
        <v>0</v>
      </c>
      <c r="P38" s="108">
        <v>-193</v>
      </c>
      <c r="Q38" s="108"/>
      <c r="R38" s="108"/>
      <c r="S38" s="108"/>
      <c r="T38" s="108"/>
      <c r="U38" s="108">
        <v>0</v>
      </c>
      <c r="V38" s="108">
        <v>-100</v>
      </c>
      <c r="W38" s="108"/>
      <c r="X38" s="108"/>
      <c r="Y38" s="108"/>
      <c r="Z38" s="108"/>
      <c r="AA38" s="108">
        <v>10</v>
      </c>
      <c r="AB38" s="108">
        <v>1</v>
      </c>
      <c r="AC38" s="108">
        <v>76</v>
      </c>
      <c r="AD38" s="79"/>
      <c r="AE38" s="20"/>
      <c r="AF38" s="437">
        <v>1</v>
      </c>
      <c r="AG38" s="437">
        <v>3</v>
      </c>
      <c r="AH38" s="437">
        <v>3.1E-2</v>
      </c>
      <c r="AI38" s="20"/>
      <c r="AJ38" s="20"/>
      <c r="AK38" s="20"/>
    </row>
    <row r="39" spans="1:37" ht="12.75" customHeight="1">
      <c r="A39" s="108"/>
      <c r="B39" s="108"/>
      <c r="C39" s="108"/>
      <c r="D39" s="65" t="str">
        <f t="shared" ref="D39:D40" si="8">CONCATENATE(A39,B39)</f>
        <v/>
      </c>
      <c r="E39" s="142">
        <v>16</v>
      </c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79"/>
      <c r="AE39" s="20"/>
      <c r="AF39" s="20"/>
      <c r="AG39" s="20"/>
      <c r="AH39" s="20"/>
      <c r="AI39" s="20"/>
      <c r="AJ39" s="20"/>
      <c r="AK39" s="20"/>
    </row>
    <row r="40" spans="1:37" ht="12.75" customHeight="1">
      <c r="A40" s="108"/>
      <c r="B40" s="108"/>
      <c r="C40" s="108"/>
      <c r="D40" s="65" t="str">
        <f t="shared" si="8"/>
        <v/>
      </c>
      <c r="E40" s="142">
        <v>17</v>
      </c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79"/>
      <c r="AE40" s="20"/>
      <c r="AF40" s="20"/>
      <c r="AG40" s="20"/>
      <c r="AH40" s="20"/>
      <c r="AI40" s="20"/>
      <c r="AJ40" s="20"/>
      <c r="AK40" s="20"/>
    </row>
    <row r="41" spans="1:37" ht="12.75" customHeight="1">
      <c r="A41" s="57" t="s">
        <v>245</v>
      </c>
      <c r="B41" s="57">
        <v>1</v>
      </c>
      <c r="C41" s="57">
        <v>0</v>
      </c>
      <c r="D41" s="65" t="str">
        <f>CONCATENATE(A41,B41,C41)</f>
        <v>custom10</v>
      </c>
      <c r="E41" s="142">
        <v>18</v>
      </c>
      <c r="F41" s="159">
        <f>'Noise model input'!B42</f>
        <v>1</v>
      </c>
      <c r="G41" s="159">
        <f>'Noise model input'!C42</f>
        <v>8191</v>
      </c>
      <c r="H41" s="159">
        <f>'Noise model input'!D42</f>
        <v>0</v>
      </c>
      <c r="I41" s="159">
        <f>'Noise model input'!E42</f>
        <v>50</v>
      </c>
      <c r="J41" s="159">
        <f>'Noise model input'!F42</f>
        <v>4</v>
      </c>
      <c r="K41" s="159">
        <f>'Noise model input'!G42</f>
        <v>105</v>
      </c>
      <c r="L41" s="159">
        <f>'Noise model input'!H42</f>
        <v>0</v>
      </c>
      <c r="M41" s="159">
        <f>'Noise model input'!I42</f>
        <v>0</v>
      </c>
      <c r="N41" s="160">
        <v>0</v>
      </c>
      <c r="O41" s="160">
        <v>0</v>
      </c>
      <c r="P41" s="161">
        <f>'Noise model input'!J42</f>
        <v>-130</v>
      </c>
      <c r="Q41" s="162"/>
      <c r="R41" s="162"/>
      <c r="S41" s="162"/>
      <c r="T41" s="162"/>
      <c r="U41" s="163">
        <v>0</v>
      </c>
      <c r="V41" s="159">
        <f>'Noise model input'!K42</f>
        <v>-300</v>
      </c>
      <c r="W41" s="108"/>
      <c r="X41" s="108"/>
      <c r="Y41" s="108"/>
      <c r="Z41" s="108"/>
      <c r="AA41" s="164">
        <v>10</v>
      </c>
      <c r="AB41" s="57">
        <v>0</v>
      </c>
      <c r="AC41" s="108"/>
      <c r="AD41" s="165" t="s">
        <v>265</v>
      </c>
      <c r="AE41" s="20"/>
      <c r="AF41" s="20"/>
      <c r="AG41" s="20"/>
      <c r="AH41" s="20"/>
      <c r="AI41" s="20"/>
      <c r="AJ41" s="20"/>
      <c r="AK41" s="20"/>
    </row>
    <row r="42" spans="1:37" ht="12.75" customHeight="1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20"/>
      <c r="AE42" s="20"/>
      <c r="AF42" s="20"/>
      <c r="AG42" s="20"/>
      <c r="AH42" s="20"/>
      <c r="AI42" s="20"/>
      <c r="AJ42" s="20"/>
      <c r="AK42" s="20"/>
    </row>
    <row r="43" spans="1:37" ht="13.5">
      <c r="A43" s="467" t="s">
        <v>266</v>
      </c>
      <c r="B43" s="461"/>
      <c r="C43" s="461"/>
      <c r="D43" s="461"/>
      <c r="E43" s="461"/>
      <c r="F43" s="461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</row>
    <row r="44" spans="1:37" ht="12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</row>
    <row r="45" spans="1:37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</row>
    <row r="46" spans="1:37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</row>
    <row r="47" spans="1:3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</row>
    <row r="48" spans="1:37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</row>
    <row r="49" spans="1:37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</row>
    <row r="50" spans="1:37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</row>
    <row r="51" spans="1:37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</row>
    <row r="52" spans="1:37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</row>
    <row r="53" spans="1:37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</row>
    <row r="54" spans="1:37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</row>
    <row r="55" spans="1:37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</row>
    <row r="56" spans="1:37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</row>
    <row r="57" spans="1:3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</row>
    <row r="58" spans="1:37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</row>
    <row r="59" spans="1:37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</row>
    <row r="60" spans="1:37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</row>
    <row r="61" spans="1:37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</row>
    <row r="62" spans="1:37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</row>
    <row r="63" spans="1:37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</row>
    <row r="64" spans="1:37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</row>
    <row r="65" spans="1:37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</row>
    <row r="66" spans="1:37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</row>
    <row r="67" spans="1:3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</row>
    <row r="68" spans="1:37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</row>
    <row r="69" spans="1:37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</row>
    <row r="70" spans="1:37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</row>
    <row r="71" spans="1:37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</row>
    <row r="72" spans="1:37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</row>
    <row r="73" spans="1:37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</row>
    <row r="74" spans="1:37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</row>
    <row r="75" spans="1:37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</row>
    <row r="76" spans="1:37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</row>
    <row r="77" spans="1:3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</row>
    <row r="78" spans="1:37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</row>
    <row r="79" spans="1:37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</row>
    <row r="80" spans="1:37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</row>
    <row r="81" spans="1:37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</row>
    <row r="82" spans="1:37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</row>
    <row r="83" spans="1:37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</row>
    <row r="84" spans="1:37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</row>
    <row r="85" spans="1:37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</row>
    <row r="86" spans="1:37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</row>
    <row r="87" spans="1:3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</row>
    <row r="88" spans="1:37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</row>
    <row r="89" spans="1:37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</row>
    <row r="90" spans="1:37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</row>
    <row r="91" spans="1:37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</row>
    <row r="92" spans="1:37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</row>
    <row r="93" spans="1:37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</row>
    <row r="94" spans="1:37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</row>
    <row r="95" spans="1:37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</row>
    <row r="96" spans="1:37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</row>
    <row r="97" spans="1:3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</row>
    <row r="98" spans="1:37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</row>
    <row r="99" spans="1:37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</row>
    <row r="100" spans="1:37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</row>
    <row r="101" spans="1:37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</row>
    <row r="102" spans="1:37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</row>
    <row r="103" spans="1:37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</row>
    <row r="104" spans="1:37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</row>
    <row r="105" spans="1:37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</row>
    <row r="106" spans="1:37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</row>
    <row r="107" spans="1:3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</row>
    <row r="108" spans="1:37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</row>
    <row r="109" spans="1:37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</row>
    <row r="110" spans="1:37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</row>
    <row r="111" spans="1:37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</row>
    <row r="112" spans="1:37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</row>
    <row r="113" spans="1:37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</row>
    <row r="114" spans="1:37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</row>
    <row r="115" spans="1:37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</row>
    <row r="116" spans="1:37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</row>
    <row r="117" spans="1:3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</row>
    <row r="118" spans="1:37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</row>
    <row r="119" spans="1:37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</row>
    <row r="120" spans="1:37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</row>
    <row r="121" spans="1:37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</row>
    <row r="122" spans="1:37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</row>
    <row r="123" spans="1:37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</row>
  </sheetData>
  <mergeCells count="4">
    <mergeCell ref="F21:M21"/>
    <mergeCell ref="O21:T21"/>
    <mergeCell ref="U21:AA21"/>
    <mergeCell ref="A43:F43"/>
  </mergeCells>
  <dataValidations count="2">
    <dataValidation type="list" allowBlank="1" sqref="A35:A41" xr:uid="{00000000-0002-0000-0700-000000000000}">
      <formula1>$A$4:$A$17</formula1>
    </dataValidation>
    <dataValidation type="list" allowBlank="1" showErrorMessage="1" sqref="A23:A34" xr:uid="{00000000-0002-0000-0700-000001000000}">
      <formula1>$A$2:$A$7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106"/>
  <sheetViews>
    <sheetView workbookViewId="0">
      <selection activeCell="E10" sqref="E10"/>
    </sheetView>
  </sheetViews>
  <sheetFormatPr defaultColWidth="14.42578125" defaultRowHeight="12.75" customHeight="1"/>
  <cols>
    <col min="1" max="20" width="12.42578125" customWidth="1"/>
  </cols>
  <sheetData>
    <row r="1" spans="1:20" ht="12.75" customHeight="1">
      <c r="A1" s="65" t="str">
        <f>Inputs!F3</f>
        <v>N_LL</v>
      </c>
      <c r="B1" s="65" t="str">
        <f>Inputs!G3</f>
        <v>N HL</v>
      </c>
      <c r="C1" s="65" t="str">
        <f>Inputs!H3</f>
        <v>FcomLL</v>
      </c>
      <c r="D1" s="65" t="str">
        <f>Inputs!I3</f>
        <v>FcomHL</v>
      </c>
      <c r="E1" s="65" t="str">
        <f>Inputs!J3</f>
        <v>FrefLL</v>
      </c>
      <c r="F1" s="65" t="str">
        <f>Inputs!K3</f>
        <v>FrefHL</v>
      </c>
      <c r="G1" s="65" t="str">
        <f>Inputs!L3</f>
        <v>Fvco LL</v>
      </c>
      <c r="H1" s="65" t="str">
        <f>Inputs!M3</f>
        <v>FvcoHL</v>
      </c>
      <c r="I1" s="79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ht="12.75" customHeight="1">
      <c r="A2" s="65">
        <f>Inputs!F4</f>
        <v>36</v>
      </c>
      <c r="B2" s="65">
        <f>Inputs!G4</f>
        <v>32767</v>
      </c>
      <c r="C2" s="65">
        <f>Inputs!H4</f>
        <v>0.05</v>
      </c>
      <c r="D2" s="65">
        <f>Inputs!I4</f>
        <v>32</v>
      </c>
      <c r="E2" s="65">
        <f>Inputs!J4</f>
        <v>8</v>
      </c>
      <c r="F2" s="65">
        <f>Inputs!K4</f>
        <v>44</v>
      </c>
      <c r="G2" s="166">
        <f>Inputs!F10</f>
        <v>1525</v>
      </c>
      <c r="H2" s="166">
        <f>Inputs!G10</f>
        <v>1610</v>
      </c>
      <c r="I2" s="79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</row>
    <row r="3" spans="1:20" ht="12.75" customHeight="1">
      <c r="A3" s="63"/>
      <c r="B3" s="63"/>
      <c r="C3" s="63"/>
      <c r="D3" s="63"/>
      <c r="E3" s="63"/>
      <c r="F3" s="63"/>
      <c r="G3" s="63"/>
      <c r="H3" s="63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0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 ht="12.7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spans="1:20" ht="12.7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spans="1:20" ht="12.7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</row>
    <row r="8" spans="1:20" ht="12.75" customHeight="1">
      <c r="A8" s="167" t="s">
        <v>267</v>
      </c>
      <c r="B8" s="168"/>
      <c r="C8" s="168"/>
      <c r="D8" s="168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0" ht="12.75" customHeight="1">
      <c r="A9" s="169" t="s">
        <v>268</v>
      </c>
      <c r="B9" s="170" t="s">
        <v>269</v>
      </c>
      <c r="C9" s="169" t="s">
        <v>270</v>
      </c>
      <c r="D9" s="168"/>
      <c r="E9" s="2" t="s">
        <v>151</v>
      </c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0" ht="12.75" customHeight="1">
      <c r="A10" s="171">
        <f>A2</f>
        <v>36</v>
      </c>
      <c r="B10" s="172">
        <f>'Top Level'!G17</f>
        <v>1539</v>
      </c>
      <c r="C10" s="171">
        <f>B2</f>
        <v>32767</v>
      </c>
      <c r="D10" s="168"/>
      <c r="E10" s="173" t="str">
        <f>IF(AND(B10&gt;A10,C10&gt;B10),"","oops")</f>
        <v/>
      </c>
      <c r="F10" s="2" t="s">
        <v>271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pans="1:20" ht="12.75" customHeight="1">
      <c r="A11" s="174"/>
      <c r="B11" s="174"/>
      <c r="C11" s="174"/>
      <c r="D11" s="168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1:20" ht="12.75" customHeight="1">
      <c r="A12" s="468" t="s">
        <v>272</v>
      </c>
      <c r="B12" s="461"/>
      <c r="C12" s="174"/>
      <c r="D12" s="168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</row>
    <row r="13" spans="1:20" ht="12.75" customHeight="1">
      <c r="A13" s="169" t="s">
        <v>273</v>
      </c>
      <c r="B13" s="169" t="s">
        <v>274</v>
      </c>
      <c r="C13" s="169" t="s">
        <v>270</v>
      </c>
      <c r="D13" s="168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pans="1:20" ht="12.75" customHeight="1">
      <c r="A14" s="171">
        <f>C2</f>
        <v>0.05</v>
      </c>
      <c r="B14" s="171">
        <f>'Top Level'!G12</f>
        <v>1.0229999999999999</v>
      </c>
      <c r="C14" s="171">
        <f>D2</f>
        <v>32</v>
      </c>
      <c r="D14" s="168"/>
      <c r="E14" s="173" t="str">
        <f>IF(AND(B14&gt;A14,C14&gt;B14),"","opps")</f>
        <v/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0" ht="12.75" customHeight="1">
      <c r="A15" s="174"/>
      <c r="B15" s="174"/>
      <c r="C15" s="174"/>
      <c r="D15" s="168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0" ht="12.75" customHeight="1">
      <c r="A16" s="468" t="s">
        <v>275</v>
      </c>
      <c r="B16" s="461"/>
      <c r="C16" s="174"/>
      <c r="D16" s="168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pans="1:20" ht="12.75" customHeight="1">
      <c r="A17" s="169" t="s">
        <v>276</v>
      </c>
      <c r="B17" s="169" t="s">
        <v>277</v>
      </c>
      <c r="C17" s="169" t="s">
        <v>270</v>
      </c>
      <c r="D17" s="168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</row>
    <row r="18" spans="1:20" ht="12.75" customHeight="1">
      <c r="A18" s="171">
        <f>E2</f>
        <v>8</v>
      </c>
      <c r="B18" s="171">
        <f>'Top Level'!A12</f>
        <v>16.367999999999999</v>
      </c>
      <c r="C18" s="171">
        <f>F2</f>
        <v>44</v>
      </c>
      <c r="D18" s="168"/>
      <c r="E18" s="173" t="str">
        <f>IF(AND(B18&gt;A18,C18&gt;B18),"","oops")</f>
        <v/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</row>
    <row r="19" spans="1:20" ht="12.75" customHeight="1">
      <c r="A19" s="168"/>
      <c r="B19" s="168"/>
      <c r="C19" s="168"/>
      <c r="D19" s="168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 ht="12.75" customHeight="1">
      <c r="A20" s="167" t="s">
        <v>278</v>
      </c>
      <c r="B20" s="168"/>
      <c r="C20" s="168"/>
      <c r="D20" s="168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 ht="12.75" customHeight="1">
      <c r="A21" s="170" t="s">
        <v>279</v>
      </c>
      <c r="B21" s="170" t="s">
        <v>280</v>
      </c>
      <c r="C21" s="170" t="s">
        <v>270</v>
      </c>
      <c r="D21" s="168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 ht="12.75" customHeight="1">
      <c r="A22" s="175">
        <f>G2</f>
        <v>1525</v>
      </c>
      <c r="B22" s="175">
        <f>'Top Level'!J12</f>
        <v>1575</v>
      </c>
      <c r="C22" s="175">
        <f>H2</f>
        <v>1610</v>
      </c>
      <c r="D22" s="168"/>
      <c r="E22" s="173" t="str">
        <f>IF(AND(B22&gt;=A22,C22&gt;=B22),"fVCO","oops")</f>
        <v>fVCO</v>
      </c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 ht="12.75" customHeight="1">
      <c r="A23" s="168"/>
      <c r="B23" s="168"/>
      <c r="C23" s="168"/>
      <c r="D23" s="168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 ht="12.75" customHeight="1">
      <c r="A24" s="168"/>
      <c r="B24" s="168"/>
      <c r="C24" s="168"/>
      <c r="D24" s="168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 ht="12.75" customHeight="1">
      <c r="A25" s="168"/>
      <c r="B25" s="168"/>
      <c r="C25" s="168"/>
      <c r="D25" s="168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 ht="12.75" customHeight="1">
      <c r="A26" s="168"/>
      <c r="B26" s="168"/>
      <c r="C26" s="168"/>
      <c r="D26" s="168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 ht="12.75" customHeight="1">
      <c r="A27" s="168"/>
      <c r="B27" s="168"/>
      <c r="C27" s="168"/>
      <c r="D27" s="168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 ht="12.75" customHeight="1">
      <c r="A28" s="168"/>
      <c r="B28" s="168"/>
      <c r="C28" s="168"/>
      <c r="D28" s="168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 ht="12.75" customHeight="1">
      <c r="A29" s="168"/>
      <c r="B29" s="168"/>
      <c r="C29" s="168"/>
      <c r="D29" s="168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 ht="12.7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 ht="12.7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  <row r="32" spans="1:20" ht="12.7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 ht="12.7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 ht="12.7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 ht="12.7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 ht="12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</row>
    <row r="37" spans="1:20" ht="12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</row>
    <row r="38" spans="1:20" ht="12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</row>
    <row r="39" spans="1:20" ht="12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 ht="12.7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</row>
    <row r="41" spans="1:20" ht="12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</row>
    <row r="42" spans="1:20" ht="12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</row>
    <row r="43" spans="1:20" ht="12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</row>
    <row r="44" spans="1:20" ht="12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</row>
    <row r="45" spans="1:20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</row>
    <row r="49" spans="1:20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</row>
    <row r="50" spans="1:2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</row>
    <row r="51" spans="1:20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</row>
    <row r="52" spans="1:20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</row>
    <row r="54" spans="1:20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</row>
    <row r="55" spans="1:20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</row>
    <row r="56" spans="1:20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</row>
    <row r="57" spans="1:20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</row>
    <row r="58" spans="1:20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</row>
    <row r="60" spans="1:2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</row>
    <row r="61" spans="1:20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</row>
    <row r="62" spans="1:20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</row>
    <row r="63" spans="1:20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</row>
    <row r="64" spans="1:20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</row>
    <row r="65" spans="1:20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</row>
    <row r="66" spans="1:20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</row>
    <row r="67" spans="1:20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</row>
    <row r="68" spans="1:20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</row>
    <row r="69" spans="1:20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</row>
    <row r="70" spans="1:2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</row>
    <row r="71" spans="1:20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</row>
    <row r="72" spans="1:20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</row>
    <row r="73" spans="1:20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</row>
    <row r="74" spans="1:20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</row>
    <row r="75" spans="1:20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</row>
    <row r="76" spans="1:20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</row>
    <row r="77" spans="1:20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</row>
    <row r="78" spans="1:20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</row>
    <row r="79" spans="1:20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</row>
    <row r="80" spans="1:2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</row>
    <row r="81" spans="1:20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</row>
    <row r="82" spans="1:20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</row>
    <row r="83" spans="1:20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</row>
    <row r="84" spans="1:20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</row>
    <row r="85" spans="1:20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</row>
    <row r="86" spans="1:20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</row>
    <row r="87" spans="1:20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</row>
    <row r="88" spans="1:20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</row>
    <row r="89" spans="1:20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</row>
    <row r="90" spans="1:2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</row>
    <row r="91" spans="1:20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</row>
    <row r="92" spans="1:20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</row>
    <row r="93" spans="1:20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</row>
    <row r="94" spans="1:20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</row>
    <row r="95" spans="1:20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</row>
    <row r="96" spans="1:20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</row>
    <row r="97" spans="1:20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</row>
    <row r="98" spans="1:20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</row>
    <row r="99" spans="1:20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</row>
    <row r="100" spans="1:2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</row>
    <row r="101" spans="1:20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</row>
    <row r="102" spans="1:20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</row>
    <row r="103" spans="1:20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</row>
    <row r="104" spans="1:20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</row>
    <row r="105" spans="1:20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</row>
    <row r="106" spans="1:20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</row>
  </sheetData>
  <mergeCells count="2">
    <mergeCell ref="A12:B12"/>
    <mergeCell ref="A16:B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Top Level</vt:lpstr>
      <vt:lpstr>Log</vt:lpstr>
      <vt:lpstr>2870-71 ICC</vt:lpstr>
      <vt:lpstr>ref spur calc</vt:lpstr>
      <vt:lpstr>ref spur calc 2</vt:lpstr>
      <vt:lpstr>Compare</vt:lpstr>
      <vt:lpstr>Noise model input</vt:lpstr>
      <vt:lpstr>Inputs</vt:lpstr>
      <vt:lpstr>limit check </vt:lpstr>
      <vt:lpstr>register out</vt:lpstr>
      <vt:lpstr>PNoise</vt:lpstr>
      <vt:lpstr>flat 1f raw</vt:lpstr>
      <vt:lpstr>vcxo raw</vt:lpstr>
      <vt:lpstr>vco raw data</vt:lpstr>
      <vt:lpstr>SDM</vt:lpstr>
      <vt:lpstr>PLL filter cal</vt:lpstr>
      <vt:lpstr>rc round</vt:lpstr>
      <vt:lpstr>R noise</vt:lpstr>
      <vt:lpstr>NamedRange1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 Liu</dc:creator>
  <cp:lastModifiedBy>Lab</cp:lastModifiedBy>
  <cp:lastPrinted>2016-06-27T23:30:20Z</cp:lastPrinted>
  <dcterms:created xsi:type="dcterms:W3CDTF">2016-06-27T23:21:02Z</dcterms:created>
  <dcterms:modified xsi:type="dcterms:W3CDTF">2018-10-04T17:45:20Z</dcterms:modified>
</cp:coreProperties>
</file>