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pho-web\Shares\Boston Apps\ARCHIVE_DC\DC2642A (LTC4041)\"/>
    </mc:Choice>
  </mc:AlternateContent>
  <xr:revisionPtr revIDLastSave="0" documentId="13_ncr:1_{A7655D73-8717-47BD-B793-C5C0DECA79AC}" xr6:coauthVersionLast="44" xr6:coauthVersionMax="44" xr10:uidLastSave="{00000000-0000-0000-0000-000000000000}"/>
  <bookViews>
    <workbookView xWindow="-110" yWindow="-110" windowWidth="19420" windowHeight="10420" xr2:uid="{00000000-000D-0000-FFFF-FFFF00000000}"/>
  </bookViews>
  <sheets>
    <sheet name="LTC4041 Backup Time" sheetId="4" r:id="rId1"/>
    <sheet name="Calculations" sheetId="5" r:id="rId2"/>
  </sheets>
  <definedNames>
    <definedName name="CCELL">'LTC4041 Backup Time'!$C$29</definedName>
    <definedName name="CCELL_EOL">'LTC4041 Backup Time'!$E$29</definedName>
    <definedName name="CSTK">'LTC4041 Backup Time'!$C$34</definedName>
    <definedName name="CSTK_EOLC">'LTC4041 Backup Time'!$E$34</definedName>
    <definedName name="CSTK_EOLR">'LTC4041 Backup Time'!$D$34</definedName>
    <definedName name="EFF">'LTC4041 Backup Time'!$C$23</definedName>
    <definedName name="IBSTpk">'LTC4041 Backup Time'!$C$32</definedName>
    <definedName name="IOUT">'LTC4041 Backup Time'!$C$19</definedName>
    <definedName name="L">'LTC4041 Backup Time'!$C$21</definedName>
    <definedName name="minVSCAP">Calculations!$F$67</definedName>
    <definedName name="Num">'LTC4041 Backup Time'!$C$27</definedName>
    <definedName name="RCELL">'LTC4041 Backup Time'!$C$30</definedName>
    <definedName name="RCELL_EOL">'LTC4041 Backup Time'!$D$30</definedName>
    <definedName name="RSTK">'LTC4041 Backup Time'!$C$35</definedName>
    <definedName name="RSTK_EOLC">'LTC4041 Backup Time'!$E$35</definedName>
    <definedName name="RSTK_EOLR">'LTC4041 Backup Time'!$D$35</definedName>
    <definedName name="VBKUP">'LTC4041 Backup Time'!$C$17</definedName>
    <definedName name="VCAP">'LTC4041 Backup Time'!$C$25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8" i="5" l="1"/>
  <c r="G8" i="5"/>
  <c r="C20" i="5"/>
  <c r="G20" i="5"/>
  <c r="G18" i="5"/>
  <c r="C18" i="5"/>
  <c r="G6" i="5"/>
  <c r="C6" i="5"/>
  <c r="G22" i="5" l="1"/>
  <c r="C22" i="5"/>
  <c r="G10" i="5"/>
  <c r="C10" i="5"/>
  <c r="F59" i="5"/>
  <c r="F60" i="5" s="1"/>
  <c r="F65" i="5" s="1"/>
  <c r="F76" i="5"/>
  <c r="F44" i="5"/>
  <c r="F47" i="5" s="1" a="1"/>
  <c r="F47" i="5" s="1"/>
  <c r="F46" i="5" l="1" a="1"/>
  <c r="F46" i="5" s="1"/>
  <c r="G50" i="5" s="1"/>
  <c r="F50" i="5" l="1"/>
  <c r="G51" i="5"/>
  <c r="G55" i="5" s="1"/>
  <c r="F54" i="5"/>
  <c r="F51" i="5"/>
  <c r="D30" i="4"/>
  <c r="F55" i="5" l="1"/>
  <c r="F56" i="5" s="1"/>
  <c r="G56" i="5"/>
  <c r="D35" i="4"/>
  <c r="C35" i="4"/>
  <c r="C34" i="4"/>
  <c r="E29" i="4"/>
  <c r="E34" i="4" s="1"/>
  <c r="E35" i="4"/>
  <c r="D34" i="4"/>
  <c r="G3" i="5" l="1"/>
  <c r="F71" i="5"/>
  <c r="G16" i="5"/>
  <c r="G4" i="5"/>
  <c r="C15" i="5"/>
  <c r="G15" i="5"/>
  <c r="C16" i="5"/>
  <c r="C4" i="5"/>
  <c r="F66" i="5"/>
  <c r="F67" i="5" s="1"/>
  <c r="C3" i="5"/>
  <c r="F34" i="4"/>
  <c r="F29" i="4"/>
  <c r="F30" i="4"/>
  <c r="F35" i="4"/>
  <c r="G19" i="5" l="1"/>
  <c r="C7" i="5"/>
  <c r="G7" i="5"/>
  <c r="C19" i="5"/>
  <c r="C21" i="5" s="1"/>
  <c r="C24" i="5" s="1"/>
  <c r="D37" i="4" s="1"/>
  <c r="G21" i="5"/>
  <c r="G24" i="5" s="1"/>
  <c r="F37" i="4" s="1"/>
  <c r="F72" i="5"/>
  <c r="F74" i="5" s="1"/>
  <c r="F75" i="5" s="1"/>
  <c r="F77" i="5" s="1"/>
  <c r="G9" i="5" l="1"/>
  <c r="G12" i="5" s="1"/>
  <c r="E37" i="4" s="1"/>
  <c r="C9" i="5"/>
  <c r="C12" i="5" s="1"/>
  <c r="C37" i="4" s="1"/>
</calcChain>
</file>

<file path=xl/sharedStrings.xml><?xml version="1.0" encoding="utf-8"?>
<sst xmlns="http://schemas.openxmlformats.org/spreadsheetml/2006/main" count="144" uniqueCount="70">
  <si>
    <t>Parameter</t>
  </si>
  <si>
    <t>Initial Value</t>
  </si>
  <si>
    <t>EOL ESR Value</t>
  </si>
  <si>
    <t>EOL Cap Value</t>
  </si>
  <si>
    <r>
      <rPr>
        <b/>
        <sz val="10"/>
        <rFont val="Arial"/>
        <family val="2"/>
      </rPr>
      <t>NOTE:</t>
    </r>
    <r>
      <rPr>
        <sz val="10"/>
        <rFont val="Arial"/>
        <family val="2"/>
      </rPr>
      <t xml:space="preserve"> Small changes in ESR can make large difference on high power outputs. </t>
    </r>
  </si>
  <si>
    <t>Actual measured results will vary.</t>
  </si>
  <si>
    <t xml:space="preserve">ESR </t>
  </si>
  <si>
    <t xml:space="preserve"> Cap </t>
  </si>
  <si>
    <t xml:space="preserve"> CAP &amp; ESR </t>
  </si>
  <si>
    <t>CAPx Capacitance [F]</t>
  </si>
  <si>
    <t>CAPx ESR [Ohms]</t>
  </si>
  <si>
    <t>Boost Efficiency [%]</t>
  </si>
  <si>
    <t>Stack Capacitance [F]</t>
  </si>
  <si>
    <t>Stack ESR [Ohms]</t>
  </si>
  <si>
    <t>Total Backup Time [Sec]</t>
  </si>
  <si>
    <t>EOL Parameter Definitions</t>
  </si>
  <si>
    <t>Typ=70</t>
  </si>
  <si>
    <t>Typ=200</t>
  </si>
  <si>
    <t>EOL Backup Values</t>
  </si>
  <si>
    <t>% of Initial ESR at EOL</t>
  </si>
  <si>
    <t xml:space="preserve">% of Initial Capacitance at EOL </t>
  </si>
  <si>
    <t># of Caps in Series</t>
  </si>
  <si>
    <t>VCAP (Stack Voltage) [V]</t>
  </si>
  <si>
    <t>Entered Values         &gt;&gt;&gt;&gt;&gt;&gt;&gt;&gt;&gt;&gt;&gt;&gt;&gt;&gt;</t>
  </si>
  <si>
    <t>Calculated Values    &gt;&gt;&gt;&gt;&gt;&gt;&gt;&gt;&gt;&gt;&gt;&gt;&gt;&gt;</t>
  </si>
  <si>
    <t>Enter End of Life (EOL) ESR and Capacitance change to determine backup time at EOL.</t>
  </si>
  <si>
    <t>Enter Initial Values below.</t>
  </si>
  <si>
    <t>DONE</t>
  </si>
  <si>
    <t>VOUT Backup Voltage [V]</t>
  </si>
  <si>
    <t>A</t>
  </si>
  <si>
    <t>Inductor Inductance [uH]</t>
  </si>
  <si>
    <t>IOUT Backup Current [A]</t>
  </si>
  <si>
    <t>V</t>
  </si>
  <si>
    <t>F</t>
  </si>
  <si>
    <t xml:space="preserve">ESR = </t>
  </si>
  <si>
    <t>ohms</t>
  </si>
  <si>
    <t>EOL Cap &amp; ESR Value</t>
  </si>
  <si>
    <t>Boost Peak Current [A]</t>
  </si>
  <si>
    <t>3.3V</t>
  </si>
  <si>
    <t>5V</t>
  </si>
  <si>
    <t>ISYS</t>
  </si>
  <si>
    <t xml:space="preserve">target ISYS = </t>
  </si>
  <si>
    <t xml:space="preserve">Higher val = </t>
  </si>
  <si>
    <t xml:space="preserve">Lower or equal val = </t>
  </si>
  <si>
    <t xml:space="preserve">(x - x1) / (x2 - x1) = </t>
  </si>
  <si>
    <t xml:space="preserve">(y2 - y1) = </t>
  </si>
  <si>
    <t xml:space="preserve">y = </t>
  </si>
  <si>
    <t>lower or equal VSCAP</t>
  </si>
  <si>
    <t>higher VSCAP</t>
  </si>
  <si>
    <t>INTERPOLATE BETWEEN LOWER AND HIGHER ISYS</t>
  </si>
  <si>
    <t>VSYS</t>
  </si>
  <si>
    <t xml:space="preserve">target VSYS = </t>
  </si>
  <si>
    <t>INTERPOLATE BETWEEN LOWER AND HIGHER VSYS</t>
  </si>
  <si>
    <t>The final value is the min VSCAP value required to boost at a given ISYS and VSYS</t>
  </si>
  <si>
    <t xml:space="preserve">Min VSCAP with ESR = </t>
  </si>
  <si>
    <t>Due to ESR,</t>
  </si>
  <si>
    <t>V of charge will be lost, so the effective minimum voltage is:</t>
  </si>
  <si>
    <t xml:space="preserve">Usable Energy = </t>
  </si>
  <si>
    <t>J</t>
  </si>
  <si>
    <t xml:space="preserve">Output Energy = </t>
  </si>
  <si>
    <t xml:space="preserve">Output Power = </t>
  </si>
  <si>
    <t>W</t>
  </si>
  <si>
    <t xml:space="preserve">Backup Time = </t>
  </si>
  <si>
    <t>sec</t>
  </si>
  <si>
    <t xml:space="preserve">Min VSCAP w/ ESR = </t>
  </si>
  <si>
    <t xml:space="preserve">SCAP Capacitance = </t>
  </si>
  <si>
    <t xml:space="preserve">Example: </t>
  </si>
  <si>
    <t>LTC4041 Backup Time Calculator</t>
  </si>
  <si>
    <t xml:space="preserve">vetted target VSYS = </t>
  </si>
  <si>
    <t xml:space="preserve">Full Charge VSCAP =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</si>
</sst>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0"/>
    <numFmt numFmtId="165" formatCode="0.000"/>
  </numFmts>
  <fonts count="16" x14ac:knownFonts="1">
    <font>
      <sz val="10"/>
      <name val="Arial"/>
      <family val="2"/>
    </font>
    <font>
      <sz val="10"/>
      <name val="Century Gothic"/>
      <family val="2"/>
    </font>
    <font>
      <sz val="10"/>
      <name val="Arial"/>
      <family val="2"/>
    </font>
    <font>
      <sz val="10"/>
      <color indexed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u/>
      <sz val="10"/>
      <name val="Arial"/>
      <family val="2"/>
    </font>
    <font>
      <b/>
      <sz val="10"/>
      <color indexed="10"/>
      <name val="Arial"/>
      <family val="2"/>
    </font>
    <font>
      <b/>
      <sz val="10"/>
      <name val="Century Gothic"/>
      <family val="2"/>
    </font>
    <font>
      <i/>
      <sz val="10"/>
      <name val="Arial"/>
      <family val="2"/>
    </font>
    <font>
      <b/>
      <sz val="12"/>
      <name val="Arial"/>
      <family val="2"/>
    </font>
    <font>
      <sz val="9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0"/>
        <bgColor indexed="64"/>
      </patternFill>
    </fill>
    <fill>
      <gradientFill degree="90">
        <stop position="0">
          <color theme="0" tint="-0.1490218817712943"/>
        </stop>
        <stop position="0.5">
          <color theme="6"/>
        </stop>
        <stop position="1">
          <color theme="0" tint="-0.1490218817712943"/>
        </stop>
      </gradientFill>
    </fill>
    <fill>
      <patternFill patternType="solid">
        <fgColor rgb="FFFF0000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22">
    <xf numFmtId="0" fontId="0" fillId="0" borderId="0" xfId="0"/>
    <xf numFmtId="0" fontId="2" fillId="0" borderId="0" xfId="1"/>
    <xf numFmtId="0" fontId="1" fillId="0" borderId="0" xfId="1" applyFont="1"/>
    <xf numFmtId="0" fontId="3" fillId="0" borderId="0" xfId="1" applyFont="1"/>
    <xf numFmtId="0" fontId="2" fillId="0" borderId="0" xfId="1" applyFont="1"/>
    <xf numFmtId="0" fontId="3" fillId="0" borderId="0" xfId="1" applyFont="1" applyAlignment="1">
      <alignment horizontal="left"/>
    </xf>
    <xf numFmtId="0" fontId="1" fillId="0" borderId="0" xfId="1" applyFont="1" applyAlignment="1">
      <alignment horizontal="left"/>
    </xf>
    <xf numFmtId="0" fontId="3" fillId="0" borderId="0" xfId="1" applyNumberFormat="1" applyFont="1" applyAlignment="1">
      <alignment horizontal="left"/>
    </xf>
    <xf numFmtId="0" fontId="1" fillId="0" borderId="0" xfId="1" applyNumberFormat="1" applyFont="1" applyAlignment="1">
      <alignment horizontal="left"/>
    </xf>
    <xf numFmtId="0" fontId="3" fillId="0" borderId="0" xfId="1" applyNumberFormat="1" applyFont="1" applyAlignment="1">
      <alignment horizontal="center"/>
    </xf>
    <xf numFmtId="0" fontId="1" fillId="0" borderId="0" xfId="1" applyNumberFormat="1" applyFont="1" applyAlignment="1">
      <alignment horizontal="center"/>
    </xf>
    <xf numFmtId="0" fontId="4" fillId="0" borderId="0" xfId="1" applyFont="1"/>
    <xf numFmtId="0" fontId="5" fillId="0" borderId="0" xfId="1" applyFont="1"/>
    <xf numFmtId="0" fontId="4" fillId="0" borderId="0" xfId="1" applyNumberFormat="1" applyFont="1" applyAlignment="1">
      <alignment horizontal="center"/>
    </xf>
    <xf numFmtId="0" fontId="7" fillId="0" borderId="0" xfId="1" applyNumberFormat="1" applyFont="1" applyAlignment="1">
      <alignment horizontal="center"/>
    </xf>
    <xf numFmtId="0" fontId="8" fillId="0" borderId="0" xfId="1" applyNumberFormat="1" applyFont="1" applyAlignment="1">
      <alignment horizontal="center"/>
    </xf>
    <xf numFmtId="0" fontId="9" fillId="0" borderId="0" xfId="1" applyFont="1"/>
    <xf numFmtId="0" fontId="2" fillId="0" borderId="0" xfId="1" applyNumberFormat="1" applyFont="1" applyAlignment="1">
      <alignment horizontal="center"/>
    </xf>
    <xf numFmtId="0" fontId="2" fillId="0" borderId="0" xfId="1" applyNumberFormat="1" applyFont="1" applyAlignment="1">
      <alignment horizontal="left"/>
    </xf>
    <xf numFmtId="0" fontId="2" fillId="0" borderId="0" xfId="1" applyFont="1" applyAlignment="1">
      <alignment horizontal="left"/>
    </xf>
    <xf numFmtId="0" fontId="0" fillId="0" borderId="0" xfId="0" applyFont="1"/>
    <xf numFmtId="0" fontId="4" fillId="0" borderId="0" xfId="0" applyFont="1"/>
    <xf numFmtId="0" fontId="0" fillId="0" borderId="0" xfId="1" applyFont="1"/>
    <xf numFmtId="164" fontId="4" fillId="0" borderId="0" xfId="1" applyNumberFormat="1" applyFont="1" applyFill="1" applyBorder="1" applyAlignment="1">
      <alignment horizontal="center"/>
    </xf>
    <xf numFmtId="2" fontId="2" fillId="0" borderId="0" xfId="1" applyNumberFormat="1" applyFont="1" applyFill="1" applyAlignment="1" applyProtection="1">
      <alignment horizontal="center"/>
    </xf>
    <xf numFmtId="0" fontId="4" fillId="0" borderId="1" xfId="1" applyFont="1" applyBorder="1" applyAlignment="1">
      <alignment horizontal="center"/>
    </xf>
    <xf numFmtId="0" fontId="4" fillId="0" borderId="2" xfId="1" applyFont="1" applyBorder="1" applyAlignment="1">
      <alignment horizontal="center"/>
    </xf>
    <xf numFmtId="164" fontId="4" fillId="2" borderId="2" xfId="1" applyNumberFormat="1" applyFont="1" applyFill="1" applyBorder="1" applyAlignment="1" applyProtection="1">
      <alignment horizontal="center"/>
    </xf>
    <xf numFmtId="0" fontId="4" fillId="0" borderId="0" xfId="1" applyFont="1" applyBorder="1" applyAlignment="1">
      <alignment horizontal="center"/>
    </xf>
    <xf numFmtId="0" fontId="2" fillId="0" borderId="0" xfId="1" applyFont="1" applyBorder="1"/>
    <xf numFmtId="0" fontId="2" fillId="0" borderId="3" xfId="1" applyFont="1" applyBorder="1"/>
    <xf numFmtId="0" fontId="4" fillId="3" borderId="0" xfId="1" applyFont="1" applyFill="1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0" fillId="0" borderId="0" xfId="1" applyFont="1" applyBorder="1" applyAlignment="1">
      <alignment horizontal="center"/>
    </xf>
    <xf numFmtId="0" fontId="0" fillId="0" borderId="4" xfId="1" applyFont="1" applyBorder="1" applyAlignment="1">
      <alignment horizontal="left"/>
    </xf>
    <xf numFmtId="0" fontId="2" fillId="0" borderId="3" xfId="1" applyFont="1" applyFill="1" applyBorder="1" applyAlignment="1">
      <alignment horizontal="center"/>
    </xf>
    <xf numFmtId="0" fontId="2" fillId="2" borderId="3" xfId="1" applyFont="1" applyFill="1" applyBorder="1" applyAlignment="1">
      <alignment horizontal="center"/>
    </xf>
    <xf numFmtId="2" fontId="2" fillId="0" borderId="3" xfId="1" applyNumberFormat="1" applyFont="1" applyBorder="1" applyAlignment="1">
      <alignment horizontal="center"/>
    </xf>
    <xf numFmtId="0" fontId="4" fillId="0" borderId="0" xfId="1" applyNumberFormat="1" applyFont="1" applyBorder="1" applyAlignment="1">
      <alignment horizontal="center"/>
    </xf>
    <xf numFmtId="0" fontId="2" fillId="0" borderId="0" xfId="1" applyNumberFormat="1" applyFont="1" applyBorder="1" applyAlignment="1">
      <alignment horizontal="center"/>
    </xf>
    <xf numFmtId="0" fontId="0" fillId="0" borderId="5" xfId="1" applyFont="1" applyBorder="1"/>
    <xf numFmtId="0" fontId="2" fillId="0" borderId="6" xfId="1" applyBorder="1"/>
    <xf numFmtId="0" fontId="2" fillId="0" borderId="6" xfId="1" applyNumberFormat="1" applyFont="1" applyBorder="1" applyAlignment="1">
      <alignment horizontal="center"/>
    </xf>
    <xf numFmtId="0" fontId="10" fillId="0" borderId="8" xfId="1" applyFont="1" applyBorder="1" applyAlignment="1">
      <alignment horizontal="left"/>
    </xf>
    <xf numFmtId="0" fontId="4" fillId="0" borderId="9" xfId="1" applyFont="1" applyBorder="1" applyAlignment="1">
      <alignment horizontal="center"/>
    </xf>
    <xf numFmtId="0" fontId="2" fillId="0" borderId="9" xfId="1" applyFont="1" applyBorder="1"/>
    <xf numFmtId="0" fontId="2" fillId="0" borderId="10" xfId="1" applyFont="1" applyBorder="1"/>
    <xf numFmtId="0" fontId="4" fillId="0" borderId="5" xfId="1" applyFont="1" applyBorder="1" applyAlignment="1">
      <alignment horizontal="right"/>
    </xf>
    <xf numFmtId="0" fontId="2" fillId="0" borderId="6" xfId="1" applyFont="1" applyBorder="1"/>
    <xf numFmtId="0" fontId="2" fillId="0" borderId="7" xfId="1" applyFont="1" applyBorder="1"/>
    <xf numFmtId="0" fontId="4" fillId="0" borderId="8" xfId="1" applyFont="1" applyBorder="1" applyAlignment="1">
      <alignment horizontal="left"/>
    </xf>
    <xf numFmtId="0" fontId="4" fillId="0" borderId="9" xfId="1" applyFont="1" applyFill="1" applyBorder="1" applyAlignment="1">
      <alignment horizontal="center"/>
    </xf>
    <xf numFmtId="0" fontId="4" fillId="0" borderId="5" xfId="1" applyFont="1" applyBorder="1" applyAlignment="1">
      <alignment horizontal="left"/>
    </xf>
    <xf numFmtId="0" fontId="4" fillId="0" borderId="6" xfId="1" applyFont="1" applyFill="1" applyBorder="1" applyAlignment="1">
      <alignment horizontal="center"/>
    </xf>
    <xf numFmtId="0" fontId="4" fillId="4" borderId="4" xfId="1" applyFont="1" applyFill="1" applyBorder="1" applyAlignment="1">
      <alignment horizontal="left"/>
    </xf>
    <xf numFmtId="0" fontId="4" fillId="4" borderId="0" xfId="1" applyFont="1" applyFill="1" applyBorder="1" applyAlignment="1">
      <alignment horizontal="center"/>
    </xf>
    <xf numFmtId="0" fontId="2" fillId="4" borderId="6" xfId="1" applyFont="1" applyFill="1" applyBorder="1"/>
    <xf numFmtId="0" fontId="2" fillId="4" borderId="7" xfId="1" applyFont="1" applyFill="1" applyBorder="1"/>
    <xf numFmtId="0" fontId="10" fillId="4" borderId="1" xfId="1" applyFont="1" applyFill="1" applyBorder="1" applyAlignment="1"/>
    <xf numFmtId="0" fontId="10" fillId="4" borderId="11" xfId="1" applyFont="1" applyFill="1" applyBorder="1" applyAlignment="1"/>
    <xf numFmtId="0" fontId="10" fillId="4" borderId="12" xfId="1" applyFont="1" applyFill="1" applyBorder="1" applyAlignment="1"/>
    <xf numFmtId="164" fontId="4" fillId="2" borderId="12" xfId="1" applyNumberFormat="1" applyFont="1" applyFill="1" applyBorder="1" applyAlignment="1" applyProtection="1">
      <alignment horizontal="center"/>
    </xf>
    <xf numFmtId="0" fontId="2" fillId="0" borderId="13" xfId="1" applyFont="1" applyBorder="1" applyAlignment="1">
      <alignment horizontal="center"/>
    </xf>
    <xf numFmtId="0" fontId="11" fillId="0" borderId="13" xfId="1" applyFont="1" applyBorder="1" applyAlignment="1">
      <alignment horizontal="center"/>
    </xf>
    <xf numFmtId="0" fontId="2" fillId="2" borderId="13" xfId="1" applyFont="1" applyFill="1" applyBorder="1" applyAlignment="1" applyProtection="1">
      <alignment horizontal="center"/>
    </xf>
    <xf numFmtId="2" fontId="2" fillId="0" borderId="13" xfId="1" applyNumberFormat="1" applyFont="1" applyBorder="1" applyAlignment="1">
      <alignment horizontal="center"/>
    </xf>
    <xf numFmtId="0" fontId="2" fillId="0" borderId="13" xfId="1" applyFont="1" applyFill="1" applyBorder="1" applyAlignment="1">
      <alignment horizontal="center"/>
    </xf>
    <xf numFmtId="0" fontId="11" fillId="0" borderId="13" xfId="1" applyFont="1" applyFill="1" applyBorder="1" applyAlignment="1">
      <alignment horizontal="center" wrapText="1"/>
    </xf>
    <xf numFmtId="0" fontId="0" fillId="0" borderId="13" xfId="1" applyFont="1" applyBorder="1" applyAlignment="1">
      <alignment horizontal="left"/>
    </xf>
    <xf numFmtId="0" fontId="2" fillId="0" borderId="13" xfId="1" applyFont="1" applyBorder="1" applyAlignment="1">
      <alignment horizontal="left"/>
    </xf>
    <xf numFmtId="0" fontId="4" fillId="0" borderId="14" xfId="1" applyFont="1" applyBorder="1" applyAlignment="1">
      <alignment horizontal="left"/>
    </xf>
    <xf numFmtId="0" fontId="6" fillId="0" borderId="8" xfId="1" applyFont="1" applyBorder="1" applyAlignment="1">
      <alignment horizontal="left"/>
    </xf>
    <xf numFmtId="0" fontId="4" fillId="2" borderId="0" xfId="1" applyFont="1" applyFill="1" applyBorder="1" applyAlignment="1">
      <alignment horizontal="center"/>
    </xf>
    <xf numFmtId="0" fontId="4" fillId="3" borderId="0" xfId="1" applyFont="1" applyFill="1" applyBorder="1" applyAlignment="1" applyProtection="1">
      <alignment horizontal="center"/>
      <protection locked="0"/>
    </xf>
    <xf numFmtId="2" fontId="4" fillId="3" borderId="0" xfId="1" applyNumberFormat="1" applyFont="1" applyFill="1" applyBorder="1" applyAlignment="1" applyProtection="1">
      <alignment horizontal="center"/>
      <protection locked="0"/>
    </xf>
    <xf numFmtId="0" fontId="2" fillId="0" borderId="13" xfId="1" applyFont="1" applyFill="1" applyBorder="1" applyAlignment="1" applyProtection="1">
      <alignment horizontal="center"/>
    </xf>
    <xf numFmtId="165" fontId="2" fillId="2" borderId="13" xfId="1" applyNumberFormat="1" applyFont="1" applyFill="1" applyBorder="1" applyAlignment="1" applyProtection="1">
      <alignment horizontal="center"/>
    </xf>
    <xf numFmtId="165" fontId="2" fillId="2" borderId="3" xfId="1" applyNumberFormat="1" applyFont="1" applyFill="1" applyBorder="1" applyAlignment="1" applyProtection="1">
      <alignment horizontal="center"/>
    </xf>
    <xf numFmtId="165" fontId="4" fillId="3" borderId="0" xfId="1" applyNumberFormat="1" applyFont="1" applyFill="1" applyBorder="1" applyAlignment="1" applyProtection="1">
      <alignment horizontal="center"/>
      <protection locked="0"/>
    </xf>
    <xf numFmtId="0" fontId="2" fillId="2" borderId="13" xfId="1" applyNumberFormat="1" applyFont="1" applyFill="1" applyBorder="1" applyAlignment="1" applyProtection="1">
      <alignment horizontal="center"/>
    </xf>
    <xf numFmtId="0" fontId="2" fillId="0" borderId="0" xfId="1" applyFont="1" applyBorder="1" applyAlignment="1">
      <alignment horizontal="center"/>
    </xf>
    <xf numFmtId="0" fontId="0" fillId="0" borderId="4" xfId="0" applyBorder="1" applyAlignment="1">
      <alignment horizontal="right"/>
    </xf>
    <xf numFmtId="165" fontId="0" fillId="0" borderId="0" xfId="0" applyNumberFormat="1" applyBorder="1"/>
    <xf numFmtId="165" fontId="0" fillId="0" borderId="3" xfId="0" applyNumberFormat="1" applyBorder="1"/>
    <xf numFmtId="0" fontId="0" fillId="0" borderId="0" xfId="0" applyBorder="1"/>
    <xf numFmtId="0" fontId="0" fillId="0" borderId="3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7" xfId="0" applyBorder="1"/>
    <xf numFmtId="0" fontId="0" fillId="0" borderId="0" xfId="0" applyBorder="1" applyAlignment="1">
      <alignment horizontal="right"/>
    </xf>
    <xf numFmtId="0" fontId="0" fillId="0" borderId="0" xfId="0" applyAlignment="1">
      <alignment horizontal="right"/>
    </xf>
    <xf numFmtId="0" fontId="4" fillId="0" borderId="0" xfId="0" applyFont="1" applyAlignment="1">
      <alignment horizontal="right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0" fillId="6" borderId="0" xfId="0" applyFill="1"/>
    <xf numFmtId="0" fontId="15" fillId="0" borderId="0" xfId="0" applyFont="1" applyAlignment="1">
      <alignment vertical="center" wrapText="1"/>
    </xf>
    <xf numFmtId="0" fontId="0" fillId="0" borderId="20" xfId="0" applyBorder="1"/>
    <xf numFmtId="0" fontId="0" fillId="0" borderId="22" xfId="0" applyBorder="1"/>
    <xf numFmtId="0" fontId="0" fillId="0" borderId="23" xfId="0" applyBorder="1"/>
    <xf numFmtId="0" fontId="15" fillId="0" borderId="6" xfId="0" applyFont="1" applyBorder="1" applyAlignment="1">
      <alignment vertical="center" wrapText="1"/>
    </xf>
    <xf numFmtId="0" fontId="0" fillId="0" borderId="16" xfId="0" applyBorder="1"/>
    <xf numFmtId="0" fontId="0" fillId="0" borderId="17" xfId="0" applyBorder="1" applyAlignment="1">
      <alignment horizontal="right"/>
    </xf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1" xfId="0" applyBorder="1"/>
    <xf numFmtId="0" fontId="0" fillId="0" borderId="22" xfId="0" applyBorder="1" applyAlignment="1">
      <alignment horizontal="right"/>
    </xf>
    <xf numFmtId="0" fontId="4" fillId="0" borderId="5" xfId="1" applyFont="1" applyBorder="1" applyAlignment="1">
      <alignment horizontal="center"/>
    </xf>
    <xf numFmtId="0" fontId="4" fillId="0" borderId="6" xfId="1" applyFont="1" applyBorder="1" applyAlignment="1">
      <alignment horizontal="center"/>
    </xf>
    <xf numFmtId="0" fontId="4" fillId="0" borderId="7" xfId="1" applyFont="1" applyBorder="1" applyAlignment="1">
      <alignment horizontal="center"/>
    </xf>
    <xf numFmtId="0" fontId="4" fillId="0" borderId="15" xfId="1" applyFont="1" applyBorder="1" applyAlignment="1">
      <alignment horizontal="center" vertical="center"/>
    </xf>
    <xf numFmtId="0" fontId="4" fillId="0" borderId="14" xfId="1" applyFont="1" applyBorder="1" applyAlignment="1">
      <alignment horizontal="center" vertical="center"/>
    </xf>
    <xf numFmtId="0" fontId="10" fillId="0" borderId="15" xfId="1" applyFont="1" applyBorder="1" applyAlignment="1">
      <alignment horizontal="center" vertical="center"/>
    </xf>
    <xf numFmtId="0" fontId="10" fillId="0" borderId="14" xfId="1" applyFont="1" applyBorder="1" applyAlignment="1">
      <alignment horizontal="center" vertical="center"/>
    </xf>
    <xf numFmtId="0" fontId="13" fillId="5" borderId="15" xfId="1" applyFont="1" applyFill="1" applyBorder="1" applyAlignment="1" applyProtection="1">
      <alignment horizontal="center" vertical="center"/>
      <protection locked="0"/>
    </xf>
    <xf numFmtId="0" fontId="14" fillId="5" borderId="13" xfId="0" applyFont="1" applyFill="1" applyBorder="1" applyAlignment="1" applyProtection="1">
      <alignment horizontal="center" vertical="center"/>
      <protection locked="0"/>
    </xf>
    <xf numFmtId="0" fontId="14" fillId="5" borderId="14" xfId="0" applyFon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</cellXfs>
  <cellStyles count="2">
    <cellStyle name="Normal" xfId="0" builtinId="0"/>
    <cellStyle name="Normal_DVS_Comparison1" xfId="1" xr:uid="{00000000-0005-0000-0000-000001000000}"/>
  </cellStyles>
  <dxfs count="0"/>
  <tableStyles count="0" defaultTableStyle="TableStyleMedium9" defaultPivotStyle="PivotStyleLight16"/>
  <colors>
    <mruColors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30</xdr:row>
      <xdr:rowOff>0</xdr:rowOff>
    </xdr:from>
    <xdr:to>
      <xdr:col>3</xdr:col>
      <xdr:colOff>621368</xdr:colOff>
      <xdr:row>54</xdr:row>
      <xdr:rowOff>103185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59A12C6-AEAB-4A4A-B776-B645F260411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6391" y="5063435"/>
          <a:ext cx="3365673" cy="4007056"/>
        </a:xfrm>
        <a:prstGeom prst="rect">
          <a:avLst/>
        </a:prstGeom>
      </xdr:spPr>
    </xdr:pic>
    <xdr:clientData/>
  </xdr:twoCellAnchor>
  <xdr:twoCellAnchor editAs="oneCell">
    <xdr:from>
      <xdr:col>1</xdr:col>
      <xdr:colOff>1242391</xdr:colOff>
      <xdr:row>55</xdr:row>
      <xdr:rowOff>66261</xdr:rowOff>
    </xdr:from>
    <xdr:to>
      <xdr:col>3</xdr:col>
      <xdr:colOff>359259</xdr:colOff>
      <xdr:row>64</xdr:row>
      <xdr:rowOff>154610</xdr:rowOff>
    </xdr:to>
    <xdr:pic>
      <xdr:nvPicPr>
        <xdr:cNvPr id="4" name="Picture 3" descr="What is linear interpolation - Definition and Meaning - Math ...">
          <a:extLst>
            <a:ext uri="{FF2B5EF4-FFF2-40B4-BE49-F238E27FC236}">
              <a16:creationId xmlns:a16="http://schemas.microsoft.com/office/drawing/2014/main" id="{6E261059-CBB8-46E5-9156-403D19AD12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8782" y="9199218"/>
          <a:ext cx="1861173" cy="156265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/>
  <dimension ref="A1:P219"/>
  <sheetViews>
    <sheetView tabSelected="1" topLeftCell="A16" zoomScale="130" zoomScaleNormal="130" workbookViewId="0">
      <selection activeCell="D24" sqref="D24"/>
    </sheetView>
  </sheetViews>
  <sheetFormatPr defaultColWidth="11.453125" defaultRowHeight="12.5" x14ac:dyDescent="0.25"/>
  <cols>
    <col min="1" max="1" width="11.453125" style="20"/>
    <col min="2" max="2" width="36.453125" style="6" customWidth="1"/>
    <col min="3" max="3" width="13.7265625" style="15" customWidth="1"/>
    <col min="4" max="5" width="13.7265625" style="10" customWidth="1"/>
    <col min="6" max="6" width="13.7265625" style="8" customWidth="1"/>
    <col min="7" max="7" width="19.1796875" style="6" customWidth="1"/>
    <col min="8" max="8" width="17.1796875" style="2" customWidth="1"/>
    <col min="9" max="16" width="11.453125" style="4"/>
    <col min="17" max="16384" width="11.453125" style="1"/>
  </cols>
  <sheetData>
    <row r="1" spans="1:16" ht="13" thickBot="1" x14ac:dyDescent="0.3"/>
    <row r="2" spans="1:16" ht="17.25" customHeight="1" thickBot="1" x14ac:dyDescent="0.4">
      <c r="B2" s="59" t="s">
        <v>67</v>
      </c>
      <c r="C2" s="60"/>
      <c r="D2" s="60"/>
      <c r="E2" s="60"/>
      <c r="F2" s="61"/>
      <c r="G2" s="4"/>
      <c r="H2" s="4"/>
    </row>
    <row r="3" spans="1:16" ht="12.75" customHeight="1" x14ac:dyDescent="0.35">
      <c r="B3" s="44"/>
      <c r="C3" s="45"/>
      <c r="D3" s="46"/>
      <c r="E3" s="46"/>
      <c r="F3" s="47"/>
      <c r="G3" s="4"/>
      <c r="H3" s="4"/>
    </row>
    <row r="4" spans="1:16" ht="12.75" customHeight="1" x14ac:dyDescent="0.3">
      <c r="B4" s="32" t="s">
        <v>23</v>
      </c>
      <c r="C4" s="31"/>
      <c r="D4" s="29"/>
      <c r="E4" s="29"/>
      <c r="F4" s="30"/>
      <c r="G4" s="4"/>
      <c r="H4" s="4"/>
    </row>
    <row r="5" spans="1:16" ht="12.75" customHeight="1" x14ac:dyDescent="0.3">
      <c r="B5" s="32" t="s">
        <v>24</v>
      </c>
      <c r="C5" s="73"/>
      <c r="D5" s="29"/>
      <c r="E5" s="29"/>
      <c r="F5" s="30"/>
      <c r="G5" s="4"/>
      <c r="H5" s="4"/>
    </row>
    <row r="6" spans="1:16" ht="12.75" customHeight="1" thickBot="1" x14ac:dyDescent="0.35">
      <c r="B6" s="48"/>
      <c r="C6" s="54"/>
      <c r="D6" s="49"/>
      <c r="E6" s="49"/>
      <c r="F6" s="50"/>
      <c r="G6" s="4"/>
      <c r="H6" s="4"/>
    </row>
    <row r="7" spans="1:16" ht="12.75" customHeight="1" x14ac:dyDescent="0.3">
      <c r="B7" s="51" t="s">
        <v>25</v>
      </c>
      <c r="C7" s="52"/>
      <c r="D7" s="46"/>
      <c r="E7" s="46"/>
      <c r="F7" s="47"/>
      <c r="G7" s="4"/>
      <c r="H7" s="4"/>
    </row>
    <row r="8" spans="1:16" ht="12.75" customHeight="1" x14ac:dyDescent="0.3">
      <c r="B8" s="32" t="s">
        <v>26</v>
      </c>
      <c r="C8" s="33"/>
      <c r="D8" s="29"/>
      <c r="E8" s="29"/>
      <c r="F8" s="30"/>
      <c r="G8" s="4"/>
      <c r="H8" s="4"/>
    </row>
    <row r="9" spans="1:16" ht="12.75" customHeight="1" thickBot="1" x14ac:dyDescent="0.35">
      <c r="B9" s="53"/>
      <c r="C9" s="54"/>
      <c r="D9" s="49"/>
      <c r="E9" s="49"/>
      <c r="F9" s="50"/>
      <c r="G9" s="4"/>
      <c r="H9" s="4"/>
    </row>
    <row r="10" spans="1:16" ht="12.75" customHeight="1" x14ac:dyDescent="0.3">
      <c r="B10" s="72" t="s">
        <v>15</v>
      </c>
      <c r="C10" s="52"/>
      <c r="D10" s="46"/>
      <c r="E10" s="46"/>
      <c r="F10" s="47"/>
      <c r="G10" s="4"/>
      <c r="H10" s="4"/>
    </row>
    <row r="11" spans="1:16" ht="12.75" customHeight="1" x14ac:dyDescent="0.3">
      <c r="B11" s="32" t="s">
        <v>20</v>
      </c>
      <c r="C11" s="74">
        <v>70</v>
      </c>
      <c r="D11" s="34" t="s">
        <v>16</v>
      </c>
      <c r="E11" s="29"/>
      <c r="F11" s="30"/>
      <c r="G11" s="4"/>
      <c r="H11" s="4"/>
    </row>
    <row r="12" spans="1:16" ht="12.75" customHeight="1" x14ac:dyDescent="0.3">
      <c r="B12" s="32" t="s">
        <v>19</v>
      </c>
      <c r="C12" s="74">
        <v>200</v>
      </c>
      <c r="D12" s="34" t="s">
        <v>17</v>
      </c>
      <c r="E12" s="29"/>
      <c r="F12" s="30"/>
      <c r="G12" s="4"/>
      <c r="H12" s="4"/>
      <c r="I12" s="1"/>
      <c r="J12" s="1"/>
      <c r="K12" s="1"/>
    </row>
    <row r="13" spans="1:16" ht="12.75" customHeight="1" thickBot="1" x14ac:dyDescent="0.35">
      <c r="B13" s="53"/>
      <c r="C13" s="54"/>
      <c r="D13" s="49"/>
      <c r="E13" s="49"/>
      <c r="F13" s="50"/>
      <c r="G13" s="4"/>
      <c r="H13" s="4"/>
      <c r="I13" s="1"/>
      <c r="J13" s="1"/>
      <c r="K13" s="1"/>
    </row>
    <row r="14" spans="1:16" ht="12.75" customHeight="1" thickBot="1" x14ac:dyDescent="0.35">
      <c r="B14" s="55"/>
      <c r="C14" s="56"/>
      <c r="D14" s="57"/>
      <c r="E14" s="57"/>
      <c r="F14" s="58"/>
      <c r="G14" s="4"/>
      <c r="H14" s="4"/>
      <c r="I14" s="1"/>
      <c r="J14" s="1"/>
      <c r="K14" s="1"/>
    </row>
    <row r="15" spans="1:16" ht="12.75" customHeight="1" thickBot="1" x14ac:dyDescent="0.35">
      <c r="B15" s="113" t="s">
        <v>0</v>
      </c>
      <c r="C15" s="111" t="s">
        <v>1</v>
      </c>
      <c r="D15" s="108" t="s">
        <v>18</v>
      </c>
      <c r="E15" s="109"/>
      <c r="F15" s="110"/>
      <c r="G15" s="4"/>
      <c r="H15" s="4"/>
      <c r="I15" s="1"/>
      <c r="J15" s="1"/>
      <c r="K15" s="1"/>
    </row>
    <row r="16" spans="1:16" s="11" customFormat="1" ht="12.75" customHeight="1" thickBot="1" x14ac:dyDescent="0.35">
      <c r="A16" s="4"/>
      <c r="B16" s="114"/>
      <c r="C16" s="112"/>
      <c r="D16" s="25" t="s">
        <v>6</v>
      </c>
      <c r="E16" s="25" t="s">
        <v>7</v>
      </c>
      <c r="F16" s="26" t="s">
        <v>8</v>
      </c>
      <c r="G16" s="4"/>
      <c r="H16" s="4"/>
      <c r="I16" s="1"/>
      <c r="J16" s="1"/>
      <c r="K16" s="1"/>
      <c r="L16" s="4"/>
      <c r="M16" s="4"/>
      <c r="N16" s="4"/>
      <c r="O16" s="4"/>
      <c r="P16" s="4"/>
    </row>
    <row r="17" spans="1:16" s="12" customFormat="1" ht="13" x14ac:dyDescent="0.3">
      <c r="A17" s="16"/>
      <c r="B17" s="69" t="s">
        <v>28</v>
      </c>
      <c r="C17" s="74">
        <v>5</v>
      </c>
      <c r="D17" s="63"/>
      <c r="E17" s="67"/>
      <c r="F17" s="36"/>
      <c r="G17" s="4"/>
      <c r="H17" s="4"/>
      <c r="I17" s="4"/>
      <c r="J17" s="4"/>
      <c r="K17" s="4"/>
      <c r="L17" s="4"/>
      <c r="M17" s="4"/>
      <c r="N17" s="4"/>
      <c r="O17" s="4"/>
      <c r="P17" s="4"/>
    </row>
    <row r="18" spans="1:16" x14ac:dyDescent="0.25">
      <c r="B18" s="70"/>
      <c r="C18" s="63"/>
      <c r="D18" s="63"/>
      <c r="E18" s="67"/>
      <c r="F18" s="36"/>
      <c r="G18" s="4"/>
      <c r="H18" s="4"/>
    </row>
    <row r="19" spans="1:16" ht="13" x14ac:dyDescent="0.3">
      <c r="B19" s="69" t="s">
        <v>31</v>
      </c>
      <c r="C19" s="74">
        <v>2.5</v>
      </c>
      <c r="D19" s="63"/>
      <c r="E19" s="67"/>
      <c r="F19" s="36"/>
      <c r="G19" s="4"/>
      <c r="H19" s="4"/>
    </row>
    <row r="20" spans="1:16" x14ac:dyDescent="0.25">
      <c r="B20" s="70"/>
      <c r="C20" s="63"/>
      <c r="D20" s="63"/>
      <c r="E20" s="67"/>
      <c r="F20" s="36"/>
      <c r="G20" s="4"/>
      <c r="H20" s="4"/>
    </row>
    <row r="21" spans="1:16" ht="13" x14ac:dyDescent="0.3">
      <c r="B21" s="70" t="s">
        <v>30</v>
      </c>
      <c r="C21" s="74">
        <v>2.2000000000000002</v>
      </c>
      <c r="D21" s="63"/>
      <c r="E21" s="67"/>
      <c r="F21" s="36"/>
      <c r="G21" s="4"/>
      <c r="H21" s="4"/>
    </row>
    <row r="22" spans="1:16" x14ac:dyDescent="0.25">
      <c r="B22" s="70"/>
      <c r="C22" s="81"/>
      <c r="D22" s="63"/>
      <c r="E22" s="67"/>
      <c r="F22" s="36"/>
      <c r="G22" s="4"/>
      <c r="H22" s="4"/>
    </row>
    <row r="23" spans="1:16" ht="13" x14ac:dyDescent="0.3">
      <c r="B23" s="69" t="s">
        <v>11</v>
      </c>
      <c r="C23" s="74">
        <v>80</v>
      </c>
      <c r="D23" s="63"/>
      <c r="E23" s="67"/>
      <c r="F23" s="36"/>
      <c r="G23" s="4"/>
      <c r="H23" s="4"/>
    </row>
    <row r="24" spans="1:16" x14ac:dyDescent="0.25">
      <c r="B24" s="70"/>
      <c r="C24" s="63"/>
      <c r="D24" s="63"/>
      <c r="E24" s="67"/>
      <c r="F24" s="36"/>
      <c r="G24" s="4"/>
      <c r="H24" s="4"/>
    </row>
    <row r="25" spans="1:16" ht="13" x14ac:dyDescent="0.3">
      <c r="B25" s="69" t="s">
        <v>22</v>
      </c>
      <c r="C25" s="75">
        <v>5</v>
      </c>
      <c r="D25" s="63"/>
      <c r="E25" s="67"/>
      <c r="F25" s="36"/>
      <c r="G25" s="4"/>
      <c r="H25" s="4"/>
    </row>
    <row r="26" spans="1:16" x14ac:dyDescent="0.25">
      <c r="B26" s="70"/>
      <c r="C26" s="63"/>
      <c r="D26" s="63"/>
      <c r="E26" s="67"/>
      <c r="F26" s="36"/>
      <c r="G26" s="4"/>
      <c r="H26" s="4"/>
    </row>
    <row r="27" spans="1:16" ht="13" x14ac:dyDescent="0.3">
      <c r="B27" s="69" t="s">
        <v>21</v>
      </c>
      <c r="C27" s="74">
        <v>2</v>
      </c>
      <c r="D27" s="63"/>
      <c r="E27" s="67"/>
      <c r="F27" s="36"/>
      <c r="G27" s="4"/>
      <c r="H27" s="4"/>
    </row>
    <row r="28" spans="1:16" x14ac:dyDescent="0.25">
      <c r="B28" s="70"/>
      <c r="C28" s="63"/>
      <c r="D28" s="64"/>
      <c r="E28" s="68"/>
      <c r="F28" s="36"/>
      <c r="G28" s="4"/>
      <c r="H28" s="22"/>
    </row>
    <row r="29" spans="1:16" ht="13" x14ac:dyDescent="0.3">
      <c r="B29" s="69" t="s">
        <v>9</v>
      </c>
      <c r="C29" s="79">
        <v>10</v>
      </c>
      <c r="D29" s="80"/>
      <c r="E29" s="65">
        <f>C11/100*CCELL</f>
        <v>7</v>
      </c>
      <c r="F29" s="37">
        <f>CCELL_EOL</f>
        <v>7</v>
      </c>
      <c r="G29" s="4"/>
      <c r="H29" s="4"/>
    </row>
    <row r="30" spans="1:16" ht="13" x14ac:dyDescent="0.3">
      <c r="B30" s="69" t="s">
        <v>10</v>
      </c>
      <c r="C30" s="74">
        <v>0.02</v>
      </c>
      <c r="D30" s="65">
        <f>C12/100*RCELL</f>
        <v>0.04</v>
      </c>
      <c r="E30" s="65"/>
      <c r="F30" s="37">
        <f>RCELL_EOL</f>
        <v>0.04</v>
      </c>
      <c r="G30" s="4"/>
      <c r="H30" s="4"/>
    </row>
    <row r="31" spans="1:16" x14ac:dyDescent="0.25">
      <c r="B31" s="70"/>
      <c r="C31" s="63"/>
      <c r="D31" s="63"/>
      <c r="E31" s="67"/>
      <c r="F31" s="36"/>
      <c r="G31" s="4"/>
      <c r="H31" s="4"/>
    </row>
    <row r="32" spans="1:16" ht="13" x14ac:dyDescent="0.3">
      <c r="B32" s="69" t="s">
        <v>37</v>
      </c>
      <c r="C32" s="74">
        <v>5.5</v>
      </c>
      <c r="D32" s="63"/>
      <c r="E32" s="67"/>
      <c r="F32" s="36"/>
      <c r="G32" s="4"/>
      <c r="H32" s="4"/>
    </row>
    <row r="33" spans="1:8" x14ac:dyDescent="0.25">
      <c r="B33" s="69"/>
      <c r="C33" s="76"/>
      <c r="D33" s="63"/>
      <c r="E33" s="67"/>
      <c r="F33" s="36"/>
      <c r="G33" s="4"/>
      <c r="H33" s="4"/>
    </row>
    <row r="34" spans="1:8" x14ac:dyDescent="0.25">
      <c r="B34" s="69" t="s">
        <v>12</v>
      </c>
      <c r="C34" s="77">
        <f>CCELL/Num</f>
        <v>5</v>
      </c>
      <c r="D34" s="77">
        <f>CCELL/Num</f>
        <v>5</v>
      </c>
      <c r="E34" s="77">
        <f>CCELL_EOL/Num</f>
        <v>3.5</v>
      </c>
      <c r="F34" s="78">
        <f>CSTK_EOLC</f>
        <v>3.5</v>
      </c>
      <c r="G34" s="4"/>
      <c r="H34" s="4"/>
    </row>
    <row r="35" spans="1:8" x14ac:dyDescent="0.25">
      <c r="B35" s="69" t="s">
        <v>13</v>
      </c>
      <c r="C35" s="65">
        <f>RCELL*Num</f>
        <v>0.04</v>
      </c>
      <c r="D35" s="65">
        <f>RCELL_EOL*Num</f>
        <v>0.08</v>
      </c>
      <c r="E35" s="65">
        <f>RCELL*Num</f>
        <v>0.04</v>
      </c>
      <c r="F35" s="37">
        <f>RSTK_EOLR</f>
        <v>0.08</v>
      </c>
      <c r="G35" s="4"/>
      <c r="H35" s="4"/>
    </row>
    <row r="36" spans="1:8" ht="13" thickBot="1" x14ac:dyDescent="0.3">
      <c r="B36" s="69"/>
      <c r="C36" s="66"/>
      <c r="D36" s="66"/>
      <c r="E36" s="66"/>
      <c r="F36" s="38"/>
    </row>
    <row r="37" spans="1:8" s="11" customFormat="1" ht="13.5" thickBot="1" x14ac:dyDescent="0.35">
      <c r="A37" s="21"/>
      <c r="B37" s="71" t="s">
        <v>14</v>
      </c>
      <c r="C37" s="27">
        <f>Calculations!C12</f>
        <v>2.5886559999999998</v>
      </c>
      <c r="D37" s="27">
        <f>Calculations!C24</f>
        <v>2.3718240000000002</v>
      </c>
      <c r="E37" s="27">
        <f>Calculations!G12</f>
        <v>1.8120591999999995</v>
      </c>
      <c r="F37" s="62">
        <f>Calculations!G24</f>
        <v>1.6602768000000001</v>
      </c>
    </row>
    <row r="38" spans="1:8" s="11" customFormat="1" ht="13" x14ac:dyDescent="0.3">
      <c r="A38" s="21"/>
      <c r="B38" s="32"/>
      <c r="C38" s="23"/>
      <c r="D38" s="28"/>
      <c r="E38" s="28"/>
      <c r="F38" s="115" t="s">
        <v>27</v>
      </c>
    </row>
    <row r="39" spans="1:8" ht="13" x14ac:dyDescent="0.3">
      <c r="B39" s="35" t="s">
        <v>4</v>
      </c>
      <c r="C39" s="39"/>
      <c r="D39" s="40"/>
      <c r="E39" s="40"/>
      <c r="F39" s="116"/>
    </row>
    <row r="40" spans="1:8" ht="13" thickBot="1" x14ac:dyDescent="0.3">
      <c r="B40" s="41" t="s">
        <v>5</v>
      </c>
      <c r="C40" s="42"/>
      <c r="D40" s="43"/>
      <c r="E40" s="43"/>
      <c r="F40" s="117"/>
    </row>
    <row r="41" spans="1:8" ht="14.25" customHeight="1" x14ac:dyDescent="0.3">
      <c r="B41" s="19"/>
      <c r="C41" s="13"/>
      <c r="D41" s="17"/>
      <c r="E41" s="17"/>
    </row>
    <row r="42" spans="1:8" ht="13" x14ac:dyDescent="0.3">
      <c r="B42" s="19"/>
      <c r="C42" s="13"/>
      <c r="D42" s="17"/>
      <c r="E42" s="17"/>
    </row>
    <row r="43" spans="1:8" x14ac:dyDescent="0.25">
      <c r="B43" s="19"/>
      <c r="C43" s="24"/>
      <c r="D43" s="17"/>
      <c r="E43" s="17"/>
    </row>
    <row r="44" spans="1:8" ht="13" x14ac:dyDescent="0.3">
      <c r="B44" s="19"/>
      <c r="C44" s="13"/>
      <c r="D44" s="17"/>
      <c r="E44" s="17"/>
    </row>
    <row r="45" spans="1:8" ht="13" x14ac:dyDescent="0.3">
      <c r="B45" s="19"/>
      <c r="C45" s="13"/>
      <c r="D45" s="17"/>
      <c r="E45" s="17"/>
      <c r="F45"/>
      <c r="G45"/>
      <c r="H45" s="4"/>
    </row>
    <row r="46" spans="1:8" ht="13" x14ac:dyDescent="0.3">
      <c r="B46" s="19"/>
      <c r="C46" s="13"/>
      <c r="D46" s="17"/>
      <c r="E46" s="17"/>
      <c r="F46"/>
      <c r="G46"/>
      <c r="H46" s="4"/>
    </row>
    <row r="47" spans="1:8" ht="13" x14ac:dyDescent="0.3">
      <c r="B47" s="19"/>
      <c r="C47" s="13"/>
      <c r="D47" s="17"/>
      <c r="E47" s="17"/>
      <c r="F47"/>
      <c r="G47"/>
      <c r="H47" s="4"/>
    </row>
    <row r="48" spans="1:8" s="3" customFormat="1" ht="15.75" customHeight="1" x14ac:dyDescent="0.3">
      <c r="B48" s="5"/>
      <c r="C48" s="14"/>
      <c r="D48" s="9"/>
      <c r="E48" s="9"/>
      <c r="F48"/>
      <c r="G48"/>
    </row>
    <row r="49" spans="2:7" s="3" customFormat="1" ht="13" x14ac:dyDescent="0.3">
      <c r="B49" s="5"/>
      <c r="C49" s="14"/>
      <c r="D49" s="9"/>
      <c r="E49" s="9"/>
      <c r="F49"/>
      <c r="G49"/>
    </row>
    <row r="50" spans="2:7" s="3" customFormat="1" ht="13" x14ac:dyDescent="0.3">
      <c r="B50" s="5"/>
      <c r="C50" s="14"/>
      <c r="D50" s="9"/>
      <c r="E50" s="9"/>
      <c r="F50"/>
      <c r="G50"/>
    </row>
    <row r="51" spans="2:7" s="3" customFormat="1" ht="13" x14ac:dyDescent="0.3">
      <c r="B51" s="5"/>
      <c r="C51" s="14"/>
      <c r="D51" s="9"/>
      <c r="E51" s="9"/>
      <c r="F51" s="7"/>
      <c r="G51" s="5"/>
    </row>
    <row r="52" spans="2:7" s="3" customFormat="1" ht="13" x14ac:dyDescent="0.3">
      <c r="B52" s="5"/>
      <c r="C52" s="14"/>
      <c r="D52" s="9"/>
      <c r="E52" s="9"/>
      <c r="F52" s="7"/>
      <c r="G52" s="5"/>
    </row>
    <row r="53" spans="2:7" s="3" customFormat="1" ht="13" x14ac:dyDescent="0.3">
      <c r="B53" s="5"/>
      <c r="C53" s="14"/>
      <c r="D53" s="9"/>
      <c r="E53" s="9"/>
      <c r="F53" s="7"/>
      <c r="G53" s="5"/>
    </row>
    <row r="54" spans="2:7" s="3" customFormat="1" ht="13" x14ac:dyDescent="0.3">
      <c r="B54" s="5"/>
      <c r="C54" s="14"/>
      <c r="D54" s="9"/>
      <c r="E54" s="9"/>
      <c r="F54" s="7"/>
      <c r="G54" s="5"/>
    </row>
    <row r="55" spans="2:7" s="3" customFormat="1" ht="13" x14ac:dyDescent="0.3">
      <c r="B55" s="5"/>
      <c r="C55" s="14"/>
      <c r="D55" s="9"/>
      <c r="E55" s="9"/>
      <c r="F55" s="7"/>
      <c r="G55" s="5"/>
    </row>
    <row r="56" spans="2:7" s="3" customFormat="1" ht="13" x14ac:dyDescent="0.3">
      <c r="B56" s="5"/>
      <c r="C56" s="14"/>
      <c r="D56" s="9"/>
      <c r="E56" s="9"/>
      <c r="F56" s="7"/>
      <c r="G56" s="5"/>
    </row>
    <row r="57" spans="2:7" s="3" customFormat="1" ht="13" x14ac:dyDescent="0.3">
      <c r="B57" s="5"/>
      <c r="C57" s="14"/>
      <c r="D57" s="9"/>
      <c r="E57" s="9"/>
      <c r="F57" s="7"/>
      <c r="G57" s="5"/>
    </row>
    <row r="58" spans="2:7" s="3" customFormat="1" ht="13" x14ac:dyDescent="0.3">
      <c r="B58" s="5"/>
      <c r="C58" s="14"/>
      <c r="D58" s="9"/>
      <c r="E58" s="9"/>
      <c r="F58" s="7"/>
      <c r="G58" s="5"/>
    </row>
    <row r="59" spans="2:7" s="3" customFormat="1" ht="13" x14ac:dyDescent="0.3">
      <c r="B59" s="5"/>
      <c r="C59" s="14"/>
      <c r="D59" s="9"/>
      <c r="E59" s="9"/>
      <c r="F59" s="7"/>
      <c r="G59" s="5"/>
    </row>
    <row r="60" spans="2:7" s="3" customFormat="1" ht="13" x14ac:dyDescent="0.3">
      <c r="B60" s="5"/>
      <c r="C60" s="14"/>
      <c r="D60" s="9"/>
      <c r="E60" s="9"/>
      <c r="F60" s="7"/>
      <c r="G60" s="5"/>
    </row>
    <row r="61" spans="2:7" s="3" customFormat="1" ht="13" x14ac:dyDescent="0.3">
      <c r="B61" s="5"/>
      <c r="C61" s="14"/>
      <c r="D61" s="9"/>
      <c r="E61" s="9"/>
      <c r="F61" s="7"/>
      <c r="G61" s="5"/>
    </row>
    <row r="62" spans="2:7" s="3" customFormat="1" ht="13" x14ac:dyDescent="0.3">
      <c r="B62" s="5"/>
      <c r="C62" s="14"/>
      <c r="D62" s="9"/>
      <c r="E62" s="9"/>
      <c r="F62" s="7"/>
      <c r="G62" s="5"/>
    </row>
    <row r="63" spans="2:7" s="3" customFormat="1" ht="13" x14ac:dyDescent="0.3">
      <c r="B63" s="5"/>
      <c r="C63" s="14"/>
      <c r="D63" s="9"/>
      <c r="E63" s="9"/>
      <c r="F63" s="7"/>
      <c r="G63" s="5"/>
    </row>
    <row r="64" spans="2:7" s="3" customFormat="1" ht="13" x14ac:dyDescent="0.3">
      <c r="B64" s="5"/>
      <c r="C64" s="14"/>
      <c r="D64" s="9"/>
      <c r="E64" s="9"/>
      <c r="F64" s="7"/>
      <c r="G64" s="5"/>
    </row>
    <row r="65" spans="2:8" ht="84.75" hidden="1" customHeight="1" thickBot="1" x14ac:dyDescent="0.35">
      <c r="B65" s="19"/>
      <c r="C65" s="13"/>
      <c r="D65" s="17"/>
      <c r="E65" s="17"/>
      <c r="F65" s="18"/>
      <c r="G65" s="19"/>
      <c r="H65" s="4"/>
    </row>
    <row r="66" spans="2:8" ht="13" x14ac:dyDescent="0.3">
      <c r="B66" s="19"/>
      <c r="C66" s="13"/>
      <c r="D66" s="17"/>
      <c r="E66" s="17"/>
      <c r="F66" s="18"/>
      <c r="G66" s="19"/>
      <c r="H66" s="4"/>
    </row>
    <row r="67" spans="2:8" ht="13" x14ac:dyDescent="0.3">
      <c r="B67" s="19"/>
      <c r="C67" s="13"/>
      <c r="D67" s="17"/>
      <c r="E67" s="17"/>
      <c r="F67" s="18"/>
      <c r="G67" s="19"/>
      <c r="H67" s="4"/>
    </row>
    <row r="68" spans="2:8" ht="13" x14ac:dyDescent="0.3">
      <c r="B68" s="19"/>
      <c r="C68" s="13"/>
      <c r="D68" s="17"/>
      <c r="E68" s="17"/>
      <c r="F68" s="18"/>
      <c r="G68" s="19"/>
      <c r="H68" s="4"/>
    </row>
    <row r="69" spans="2:8" ht="13" x14ac:dyDescent="0.3">
      <c r="B69" s="19"/>
      <c r="C69" s="13"/>
      <c r="D69" s="17"/>
      <c r="E69" s="17"/>
      <c r="F69" s="18"/>
      <c r="G69" s="19"/>
      <c r="H69" s="4"/>
    </row>
    <row r="70" spans="2:8" ht="13" x14ac:dyDescent="0.3">
      <c r="B70" s="19"/>
      <c r="C70" s="13"/>
      <c r="D70" s="17"/>
      <c r="E70" s="17"/>
      <c r="F70" s="18"/>
      <c r="G70" s="19"/>
      <c r="H70" s="4"/>
    </row>
    <row r="71" spans="2:8" ht="13" x14ac:dyDescent="0.3">
      <c r="B71" s="19"/>
      <c r="C71" s="13"/>
      <c r="D71" s="17"/>
      <c r="E71" s="17"/>
      <c r="F71" s="18"/>
      <c r="G71" s="19"/>
      <c r="H71" s="4"/>
    </row>
    <row r="72" spans="2:8" ht="13" x14ac:dyDescent="0.3">
      <c r="B72" s="19"/>
      <c r="C72" s="13"/>
      <c r="D72" s="17"/>
      <c r="E72" s="17"/>
      <c r="F72" s="18"/>
      <c r="G72" s="19"/>
      <c r="H72" s="4"/>
    </row>
    <row r="73" spans="2:8" ht="13" x14ac:dyDescent="0.3">
      <c r="B73" s="19"/>
      <c r="C73" s="13"/>
      <c r="D73" s="17"/>
      <c r="E73" s="17"/>
      <c r="F73" s="18"/>
      <c r="G73" s="19"/>
      <c r="H73" s="4"/>
    </row>
    <row r="74" spans="2:8" ht="13" x14ac:dyDescent="0.3">
      <c r="B74" s="19"/>
      <c r="C74" s="13"/>
      <c r="D74" s="17"/>
      <c r="E74" s="17"/>
      <c r="F74" s="18"/>
      <c r="G74" s="19"/>
      <c r="H74" s="4"/>
    </row>
    <row r="75" spans="2:8" ht="13" x14ac:dyDescent="0.3">
      <c r="B75" s="19"/>
      <c r="C75" s="13"/>
      <c r="D75" s="17"/>
      <c r="E75" s="17"/>
      <c r="F75" s="18"/>
      <c r="G75" s="19"/>
      <c r="H75" s="4"/>
    </row>
    <row r="76" spans="2:8" ht="13" x14ac:dyDescent="0.3">
      <c r="B76" s="19"/>
      <c r="C76" s="13"/>
      <c r="D76" s="17"/>
      <c r="E76" s="17"/>
      <c r="F76" s="18"/>
      <c r="G76" s="19"/>
      <c r="H76" s="4"/>
    </row>
    <row r="77" spans="2:8" ht="13" x14ac:dyDescent="0.3">
      <c r="B77" s="19"/>
      <c r="C77" s="13"/>
      <c r="D77" s="17"/>
      <c r="E77" s="17"/>
      <c r="F77" s="18"/>
      <c r="G77" s="19"/>
      <c r="H77" s="4"/>
    </row>
    <row r="78" spans="2:8" ht="13" x14ac:dyDescent="0.3">
      <c r="B78" s="19"/>
      <c r="C78" s="13"/>
      <c r="D78" s="17"/>
      <c r="E78" s="17"/>
      <c r="F78" s="18"/>
      <c r="G78" s="19"/>
      <c r="H78" s="4"/>
    </row>
    <row r="79" spans="2:8" ht="13" x14ac:dyDescent="0.3">
      <c r="B79" s="19"/>
      <c r="C79" s="13"/>
      <c r="D79" s="17"/>
      <c r="E79" s="17"/>
      <c r="F79" s="18"/>
      <c r="G79" s="19"/>
      <c r="H79" s="4"/>
    </row>
    <row r="80" spans="2:8" ht="13" x14ac:dyDescent="0.3">
      <c r="B80" s="19"/>
      <c r="C80" s="13"/>
      <c r="D80" s="17"/>
      <c r="E80" s="17"/>
      <c r="F80" s="18"/>
      <c r="G80" s="19"/>
      <c r="H80" s="4"/>
    </row>
    <row r="81" spans="2:8" ht="13" x14ac:dyDescent="0.3">
      <c r="B81" s="19"/>
      <c r="C81" s="13"/>
      <c r="D81" s="17"/>
      <c r="E81" s="17"/>
      <c r="F81" s="18"/>
      <c r="G81" s="19"/>
      <c r="H81" s="4"/>
    </row>
    <row r="82" spans="2:8" ht="13" x14ac:dyDescent="0.3">
      <c r="B82" s="19"/>
      <c r="C82" s="13"/>
      <c r="D82" s="17"/>
      <c r="E82" s="17"/>
      <c r="F82" s="18"/>
      <c r="G82" s="19"/>
      <c r="H82" s="4"/>
    </row>
    <row r="83" spans="2:8" ht="13" x14ac:dyDescent="0.3">
      <c r="B83" s="19"/>
      <c r="C83" s="13"/>
      <c r="D83" s="17"/>
      <c r="E83" s="17"/>
      <c r="F83" s="18"/>
      <c r="G83" s="19"/>
      <c r="H83" s="4"/>
    </row>
    <row r="84" spans="2:8" ht="13" x14ac:dyDescent="0.3">
      <c r="B84" s="19"/>
      <c r="C84" s="13"/>
      <c r="D84" s="17"/>
      <c r="E84" s="17"/>
      <c r="F84" s="18"/>
      <c r="G84" s="19"/>
      <c r="H84" s="4"/>
    </row>
    <row r="85" spans="2:8" ht="13" x14ac:dyDescent="0.3">
      <c r="B85" s="19"/>
      <c r="C85" s="13"/>
      <c r="D85" s="17"/>
      <c r="E85" s="17"/>
      <c r="F85" s="18"/>
      <c r="G85" s="19"/>
      <c r="H85" s="4"/>
    </row>
    <row r="86" spans="2:8" ht="13" x14ac:dyDescent="0.3">
      <c r="B86" s="19"/>
      <c r="C86" s="13"/>
      <c r="D86" s="17"/>
      <c r="E86" s="17"/>
      <c r="F86" s="18"/>
      <c r="G86" s="19"/>
      <c r="H86" s="4"/>
    </row>
    <row r="87" spans="2:8" ht="13" x14ac:dyDescent="0.3">
      <c r="B87" s="19"/>
      <c r="C87" s="13"/>
      <c r="D87" s="17"/>
      <c r="E87" s="17"/>
      <c r="F87" s="18"/>
      <c r="G87" s="19"/>
      <c r="H87" s="4"/>
    </row>
    <row r="88" spans="2:8" ht="13" x14ac:dyDescent="0.3">
      <c r="B88" s="19"/>
      <c r="C88" s="13"/>
      <c r="D88" s="17"/>
      <c r="E88" s="17"/>
      <c r="F88" s="18"/>
      <c r="G88" s="19"/>
      <c r="H88" s="4"/>
    </row>
    <row r="89" spans="2:8" ht="13" x14ac:dyDescent="0.3">
      <c r="B89" s="19"/>
      <c r="C89" s="13"/>
      <c r="D89" s="17"/>
      <c r="E89" s="17"/>
      <c r="F89" s="18"/>
      <c r="G89" s="19"/>
      <c r="H89" s="4"/>
    </row>
    <row r="90" spans="2:8" ht="13" x14ac:dyDescent="0.3">
      <c r="B90" s="19"/>
      <c r="C90" s="13"/>
      <c r="D90" s="17"/>
      <c r="E90" s="17"/>
      <c r="F90" s="18"/>
      <c r="G90" s="19"/>
      <c r="H90" s="4"/>
    </row>
    <row r="91" spans="2:8" ht="13" x14ac:dyDescent="0.3">
      <c r="B91" s="19"/>
      <c r="C91" s="13"/>
      <c r="D91" s="17"/>
      <c r="E91" s="17"/>
      <c r="F91" s="18"/>
      <c r="G91" s="19"/>
      <c r="H91" s="4"/>
    </row>
    <row r="92" spans="2:8" ht="13" x14ac:dyDescent="0.3">
      <c r="B92" s="19"/>
      <c r="C92" s="13"/>
      <c r="D92" s="17"/>
      <c r="E92" s="17"/>
      <c r="F92" s="18"/>
      <c r="G92" s="19"/>
      <c r="H92" s="4"/>
    </row>
    <row r="93" spans="2:8" ht="13" x14ac:dyDescent="0.3">
      <c r="B93" s="19"/>
      <c r="C93" s="13"/>
      <c r="D93" s="17"/>
      <c r="E93" s="17"/>
      <c r="F93" s="18"/>
      <c r="G93" s="19"/>
      <c r="H93" s="4"/>
    </row>
    <row r="94" spans="2:8" ht="13" x14ac:dyDescent="0.3">
      <c r="B94" s="19"/>
      <c r="C94" s="13"/>
      <c r="D94" s="17"/>
      <c r="E94" s="17"/>
      <c r="F94" s="18"/>
      <c r="G94" s="19"/>
      <c r="H94" s="4"/>
    </row>
    <row r="95" spans="2:8" ht="13" x14ac:dyDescent="0.3">
      <c r="B95" s="19"/>
      <c r="C95" s="13"/>
      <c r="D95" s="17"/>
      <c r="E95" s="17"/>
      <c r="F95" s="18"/>
      <c r="G95" s="19"/>
      <c r="H95" s="4"/>
    </row>
    <row r="96" spans="2:8" ht="13" x14ac:dyDescent="0.3">
      <c r="B96" s="19"/>
      <c r="C96" s="13"/>
      <c r="D96" s="17"/>
      <c r="E96" s="17"/>
      <c r="F96" s="18"/>
      <c r="G96" s="19"/>
      <c r="H96" s="4"/>
    </row>
    <row r="97" spans="2:8" ht="13" x14ac:dyDescent="0.3">
      <c r="B97" s="19"/>
      <c r="C97" s="13"/>
      <c r="D97" s="17"/>
      <c r="E97" s="17"/>
      <c r="F97" s="18"/>
      <c r="G97" s="19"/>
      <c r="H97" s="4"/>
    </row>
    <row r="98" spans="2:8" ht="13" x14ac:dyDescent="0.3">
      <c r="B98" s="19"/>
      <c r="C98" s="13"/>
      <c r="D98" s="17"/>
      <c r="E98" s="17"/>
      <c r="F98" s="18"/>
      <c r="G98" s="19"/>
      <c r="H98" s="4"/>
    </row>
    <row r="99" spans="2:8" ht="13" x14ac:dyDescent="0.3">
      <c r="B99" s="19"/>
      <c r="C99" s="13"/>
      <c r="D99" s="17"/>
      <c r="E99" s="17"/>
      <c r="F99" s="18"/>
      <c r="G99" s="19"/>
      <c r="H99" s="4"/>
    </row>
    <row r="100" spans="2:8" ht="13" x14ac:dyDescent="0.3">
      <c r="B100" s="19"/>
      <c r="C100" s="13"/>
      <c r="D100" s="17"/>
      <c r="E100" s="17"/>
      <c r="F100" s="18"/>
      <c r="G100" s="19"/>
      <c r="H100" s="4"/>
    </row>
    <row r="101" spans="2:8" ht="13" x14ac:dyDescent="0.3">
      <c r="B101" s="19"/>
      <c r="C101" s="13"/>
      <c r="D101" s="17"/>
      <c r="E101" s="17"/>
      <c r="F101" s="18"/>
      <c r="G101" s="19"/>
      <c r="H101" s="4"/>
    </row>
    <row r="102" spans="2:8" ht="13" x14ac:dyDescent="0.3">
      <c r="B102" s="19"/>
      <c r="C102" s="13"/>
      <c r="D102" s="17"/>
      <c r="E102" s="17"/>
      <c r="F102" s="18"/>
      <c r="G102" s="19"/>
      <c r="H102" s="4"/>
    </row>
    <row r="103" spans="2:8" ht="13" x14ac:dyDescent="0.3">
      <c r="B103" s="19"/>
      <c r="C103" s="13"/>
      <c r="D103" s="17"/>
      <c r="E103" s="17"/>
      <c r="F103" s="18"/>
      <c r="G103" s="19"/>
      <c r="H103" s="4"/>
    </row>
    <row r="104" spans="2:8" ht="13" x14ac:dyDescent="0.3">
      <c r="B104" s="19"/>
      <c r="C104" s="13"/>
      <c r="D104" s="17"/>
      <c r="E104" s="17"/>
      <c r="F104" s="18"/>
      <c r="G104" s="19"/>
      <c r="H104" s="4"/>
    </row>
    <row r="105" spans="2:8" ht="13" x14ac:dyDescent="0.3">
      <c r="B105" s="19"/>
      <c r="C105" s="13"/>
      <c r="D105" s="17"/>
      <c r="E105" s="17"/>
      <c r="F105" s="18"/>
      <c r="G105" s="19"/>
      <c r="H105" s="4"/>
    </row>
    <row r="106" spans="2:8" ht="13" x14ac:dyDescent="0.3">
      <c r="B106" s="19"/>
      <c r="C106" s="13"/>
      <c r="D106" s="17"/>
      <c r="E106" s="17"/>
      <c r="F106" s="18"/>
      <c r="G106" s="19"/>
      <c r="H106" s="4"/>
    </row>
    <row r="107" spans="2:8" ht="13" x14ac:dyDescent="0.3">
      <c r="B107" s="19"/>
      <c r="C107" s="13"/>
      <c r="D107" s="17"/>
      <c r="E107" s="17"/>
      <c r="F107" s="18"/>
      <c r="G107" s="19"/>
      <c r="H107" s="4"/>
    </row>
    <row r="108" spans="2:8" ht="13" x14ac:dyDescent="0.3">
      <c r="B108" s="19"/>
      <c r="C108" s="13"/>
      <c r="D108" s="17"/>
      <c r="E108" s="17"/>
      <c r="F108" s="18"/>
      <c r="G108" s="19"/>
      <c r="H108" s="4"/>
    </row>
    <row r="109" spans="2:8" ht="13" x14ac:dyDescent="0.3">
      <c r="B109" s="19"/>
      <c r="C109" s="13"/>
      <c r="D109" s="17"/>
      <c r="E109" s="17"/>
      <c r="F109" s="18"/>
      <c r="G109" s="19"/>
      <c r="H109" s="4"/>
    </row>
    <row r="110" spans="2:8" ht="13" x14ac:dyDescent="0.3">
      <c r="B110" s="19"/>
      <c r="C110" s="13"/>
      <c r="D110" s="17"/>
      <c r="E110" s="17"/>
      <c r="F110" s="18"/>
      <c r="G110" s="19"/>
      <c r="H110" s="4"/>
    </row>
    <row r="111" spans="2:8" ht="13" x14ac:dyDescent="0.3">
      <c r="B111" s="19"/>
      <c r="C111" s="13"/>
      <c r="D111" s="17"/>
      <c r="E111" s="17"/>
      <c r="F111" s="18"/>
      <c r="G111" s="19"/>
      <c r="H111" s="4"/>
    </row>
    <row r="112" spans="2:8" ht="13" x14ac:dyDescent="0.3">
      <c r="B112" s="19"/>
      <c r="C112" s="13"/>
      <c r="D112" s="17"/>
      <c r="E112" s="17"/>
      <c r="F112" s="18"/>
      <c r="G112" s="19"/>
      <c r="H112" s="4"/>
    </row>
    <row r="113" spans="2:8" ht="13" x14ac:dyDescent="0.3">
      <c r="B113" s="19"/>
      <c r="C113" s="13"/>
      <c r="D113" s="17"/>
      <c r="E113" s="17"/>
      <c r="F113" s="18"/>
      <c r="G113" s="19"/>
      <c r="H113" s="4"/>
    </row>
    <row r="114" spans="2:8" ht="13" x14ac:dyDescent="0.3">
      <c r="B114" s="19"/>
      <c r="C114" s="13"/>
      <c r="D114" s="17"/>
      <c r="E114" s="17"/>
      <c r="F114" s="18"/>
      <c r="G114" s="19"/>
      <c r="H114" s="4"/>
    </row>
    <row r="115" spans="2:8" ht="13" x14ac:dyDescent="0.3">
      <c r="B115" s="19"/>
      <c r="C115" s="13"/>
      <c r="D115" s="17"/>
      <c r="E115" s="17"/>
      <c r="F115" s="18"/>
      <c r="G115" s="19"/>
      <c r="H115" s="4"/>
    </row>
    <row r="116" spans="2:8" ht="13" x14ac:dyDescent="0.3">
      <c r="B116" s="19"/>
      <c r="C116" s="13"/>
      <c r="D116" s="17"/>
      <c r="E116" s="17"/>
      <c r="F116" s="18"/>
      <c r="G116" s="19"/>
      <c r="H116" s="4"/>
    </row>
    <row r="117" spans="2:8" ht="13" x14ac:dyDescent="0.3">
      <c r="B117" s="19"/>
      <c r="C117" s="13"/>
      <c r="D117" s="17"/>
      <c r="E117" s="17"/>
      <c r="F117" s="18"/>
      <c r="G117" s="19"/>
      <c r="H117" s="4"/>
    </row>
    <row r="118" spans="2:8" ht="13" x14ac:dyDescent="0.3">
      <c r="B118" s="19"/>
      <c r="C118" s="13"/>
      <c r="D118" s="17"/>
      <c r="E118" s="17"/>
      <c r="F118" s="18"/>
      <c r="G118" s="19"/>
      <c r="H118" s="4"/>
    </row>
    <row r="119" spans="2:8" ht="13" x14ac:dyDescent="0.3">
      <c r="B119" s="19"/>
      <c r="C119" s="13"/>
      <c r="D119" s="17"/>
      <c r="E119" s="17"/>
      <c r="F119" s="18"/>
      <c r="G119" s="19"/>
      <c r="H119" s="4"/>
    </row>
    <row r="120" spans="2:8" ht="13" x14ac:dyDescent="0.3">
      <c r="B120" s="19"/>
      <c r="C120" s="13"/>
      <c r="D120" s="17"/>
      <c r="E120" s="17"/>
      <c r="F120" s="18"/>
      <c r="G120" s="19"/>
      <c r="H120" s="4"/>
    </row>
    <row r="121" spans="2:8" ht="13" x14ac:dyDescent="0.3">
      <c r="B121" s="19"/>
      <c r="C121" s="13"/>
      <c r="D121" s="17"/>
      <c r="E121" s="17"/>
      <c r="F121" s="18"/>
      <c r="G121" s="19"/>
      <c r="H121" s="4"/>
    </row>
    <row r="122" spans="2:8" ht="13" x14ac:dyDescent="0.3">
      <c r="B122" s="19"/>
      <c r="C122" s="13"/>
      <c r="D122" s="17"/>
      <c r="E122" s="17"/>
      <c r="F122" s="18"/>
      <c r="G122" s="19"/>
      <c r="H122" s="4"/>
    </row>
    <row r="123" spans="2:8" ht="13" x14ac:dyDescent="0.3">
      <c r="B123" s="19"/>
      <c r="C123" s="13"/>
      <c r="D123" s="17"/>
      <c r="E123" s="17"/>
      <c r="F123" s="18"/>
      <c r="G123" s="19"/>
      <c r="H123" s="4"/>
    </row>
    <row r="124" spans="2:8" ht="13" x14ac:dyDescent="0.3">
      <c r="B124" s="19"/>
      <c r="C124" s="13"/>
      <c r="D124" s="17"/>
      <c r="E124" s="17"/>
      <c r="F124" s="18"/>
      <c r="G124" s="19"/>
      <c r="H124" s="4"/>
    </row>
    <row r="125" spans="2:8" ht="13" x14ac:dyDescent="0.3">
      <c r="B125" s="19"/>
      <c r="C125" s="13"/>
      <c r="D125" s="17"/>
      <c r="E125" s="17"/>
      <c r="F125" s="18"/>
      <c r="G125" s="19"/>
      <c r="H125" s="4"/>
    </row>
    <row r="126" spans="2:8" ht="13" x14ac:dyDescent="0.3">
      <c r="B126" s="19"/>
      <c r="C126" s="13"/>
      <c r="D126" s="17"/>
      <c r="E126" s="17"/>
      <c r="F126" s="18"/>
      <c r="G126" s="19"/>
      <c r="H126" s="4"/>
    </row>
    <row r="127" spans="2:8" ht="13" x14ac:dyDescent="0.3">
      <c r="B127" s="19"/>
      <c r="C127" s="13"/>
      <c r="D127" s="17"/>
      <c r="E127" s="17"/>
      <c r="F127" s="18"/>
      <c r="G127" s="19"/>
      <c r="H127" s="4"/>
    </row>
    <row r="128" spans="2:8" ht="13" x14ac:dyDescent="0.3">
      <c r="B128" s="19"/>
      <c r="C128" s="13"/>
      <c r="D128" s="17"/>
      <c r="E128" s="17"/>
      <c r="F128" s="18"/>
      <c r="G128" s="19"/>
      <c r="H128" s="4"/>
    </row>
    <row r="129" spans="2:8" ht="13" x14ac:dyDescent="0.3">
      <c r="B129" s="19"/>
      <c r="C129" s="13"/>
      <c r="D129" s="17"/>
      <c r="E129" s="17"/>
      <c r="F129" s="18"/>
      <c r="G129" s="19"/>
      <c r="H129" s="4"/>
    </row>
    <row r="130" spans="2:8" ht="13" x14ac:dyDescent="0.3">
      <c r="B130" s="19"/>
      <c r="C130" s="13"/>
      <c r="D130" s="17"/>
      <c r="E130" s="17"/>
      <c r="F130" s="18"/>
      <c r="G130" s="19"/>
      <c r="H130" s="4"/>
    </row>
    <row r="131" spans="2:8" ht="13" x14ac:dyDescent="0.3">
      <c r="B131" s="19"/>
      <c r="C131" s="13"/>
      <c r="D131" s="17"/>
      <c r="E131" s="17"/>
      <c r="F131" s="18"/>
      <c r="G131" s="19"/>
      <c r="H131" s="4"/>
    </row>
    <row r="132" spans="2:8" ht="13" x14ac:dyDescent="0.3">
      <c r="B132" s="19"/>
      <c r="C132" s="13"/>
      <c r="D132" s="17"/>
      <c r="E132" s="17"/>
      <c r="F132" s="18"/>
      <c r="G132" s="19"/>
      <c r="H132" s="4"/>
    </row>
    <row r="133" spans="2:8" ht="13" x14ac:dyDescent="0.3">
      <c r="B133" s="19"/>
      <c r="C133" s="13"/>
      <c r="D133" s="17"/>
      <c r="E133" s="17"/>
      <c r="F133" s="18"/>
      <c r="G133" s="19"/>
      <c r="H133" s="4"/>
    </row>
    <row r="134" spans="2:8" ht="13" x14ac:dyDescent="0.3">
      <c r="B134" s="19"/>
      <c r="C134" s="13"/>
      <c r="D134" s="17"/>
      <c r="E134" s="17"/>
      <c r="F134" s="18"/>
      <c r="G134" s="19"/>
      <c r="H134" s="4"/>
    </row>
    <row r="135" spans="2:8" ht="13" x14ac:dyDescent="0.3">
      <c r="B135" s="19"/>
      <c r="C135" s="13"/>
      <c r="D135" s="17"/>
      <c r="E135" s="17"/>
      <c r="F135" s="18"/>
      <c r="G135" s="19"/>
      <c r="H135" s="4"/>
    </row>
    <row r="136" spans="2:8" ht="13" x14ac:dyDescent="0.3">
      <c r="B136" s="19"/>
      <c r="C136" s="13"/>
      <c r="D136" s="17"/>
      <c r="E136" s="17"/>
      <c r="F136" s="18"/>
      <c r="G136" s="19"/>
      <c r="H136" s="4"/>
    </row>
    <row r="137" spans="2:8" ht="13" x14ac:dyDescent="0.3">
      <c r="B137" s="19"/>
      <c r="C137" s="13"/>
      <c r="D137" s="17"/>
      <c r="E137" s="17"/>
      <c r="F137" s="18"/>
      <c r="G137" s="19"/>
      <c r="H137" s="4"/>
    </row>
    <row r="138" spans="2:8" ht="13" x14ac:dyDescent="0.3">
      <c r="B138" s="19"/>
      <c r="C138" s="13"/>
      <c r="D138" s="17"/>
      <c r="E138" s="17"/>
      <c r="F138" s="18"/>
      <c r="G138" s="19"/>
      <c r="H138" s="4"/>
    </row>
    <row r="139" spans="2:8" ht="13" x14ac:dyDescent="0.3">
      <c r="B139" s="19"/>
      <c r="C139" s="13"/>
      <c r="D139" s="17"/>
      <c r="E139" s="17"/>
      <c r="F139" s="18"/>
      <c r="G139" s="19"/>
      <c r="H139" s="4"/>
    </row>
    <row r="140" spans="2:8" ht="13" x14ac:dyDescent="0.3">
      <c r="B140" s="19"/>
      <c r="C140" s="13"/>
      <c r="D140" s="17"/>
      <c r="E140" s="17"/>
      <c r="F140" s="18"/>
      <c r="G140" s="19"/>
      <c r="H140" s="4"/>
    </row>
    <row r="141" spans="2:8" ht="13" x14ac:dyDescent="0.3">
      <c r="B141" s="19"/>
      <c r="C141" s="13"/>
      <c r="D141" s="17"/>
      <c r="E141" s="17"/>
      <c r="F141" s="18"/>
      <c r="G141" s="19"/>
      <c r="H141" s="4"/>
    </row>
    <row r="142" spans="2:8" ht="13" x14ac:dyDescent="0.3">
      <c r="B142" s="19"/>
      <c r="C142" s="13"/>
      <c r="D142" s="17"/>
      <c r="E142" s="17"/>
      <c r="F142" s="18"/>
      <c r="G142" s="19"/>
      <c r="H142" s="4"/>
    </row>
    <row r="143" spans="2:8" ht="13" x14ac:dyDescent="0.3">
      <c r="B143" s="19"/>
      <c r="C143" s="13"/>
      <c r="D143" s="17"/>
      <c r="E143" s="17"/>
      <c r="F143" s="18"/>
      <c r="G143" s="19"/>
      <c r="H143" s="4"/>
    </row>
    <row r="144" spans="2:8" ht="13" x14ac:dyDescent="0.3">
      <c r="B144" s="19"/>
      <c r="C144" s="13"/>
      <c r="D144" s="17"/>
      <c r="E144" s="17"/>
      <c r="F144" s="18"/>
      <c r="G144" s="19"/>
      <c r="H144" s="4"/>
    </row>
    <row r="145" spans="2:8" ht="13" x14ac:dyDescent="0.3">
      <c r="B145" s="19"/>
      <c r="C145" s="13"/>
      <c r="D145" s="17"/>
      <c r="E145" s="17"/>
      <c r="F145" s="18"/>
      <c r="G145" s="19"/>
      <c r="H145" s="4"/>
    </row>
    <row r="146" spans="2:8" ht="13" x14ac:dyDescent="0.3">
      <c r="B146" s="19"/>
      <c r="C146" s="13"/>
      <c r="D146" s="17"/>
      <c r="E146" s="17"/>
      <c r="F146" s="18"/>
      <c r="G146" s="19"/>
      <c r="H146" s="4"/>
    </row>
    <row r="147" spans="2:8" ht="13" x14ac:dyDescent="0.3">
      <c r="B147" s="19"/>
      <c r="C147" s="13"/>
      <c r="D147" s="17"/>
      <c r="E147" s="17"/>
      <c r="F147" s="18"/>
      <c r="G147" s="19"/>
      <c r="H147" s="4"/>
    </row>
    <row r="148" spans="2:8" ht="13" x14ac:dyDescent="0.3">
      <c r="B148" s="19"/>
      <c r="C148" s="13"/>
      <c r="D148" s="17"/>
      <c r="E148" s="17"/>
      <c r="F148" s="18"/>
      <c r="G148" s="19"/>
      <c r="H148" s="4"/>
    </row>
    <row r="149" spans="2:8" ht="13" x14ac:dyDescent="0.3">
      <c r="B149" s="19"/>
      <c r="C149" s="13"/>
      <c r="D149" s="17"/>
      <c r="E149" s="17"/>
      <c r="F149" s="18"/>
      <c r="G149" s="19"/>
      <c r="H149" s="4"/>
    </row>
    <row r="150" spans="2:8" ht="13" x14ac:dyDescent="0.3">
      <c r="B150" s="19"/>
      <c r="C150" s="13"/>
      <c r="D150" s="17"/>
      <c r="E150" s="17"/>
      <c r="F150" s="18"/>
      <c r="G150" s="19"/>
      <c r="H150" s="4"/>
    </row>
    <row r="151" spans="2:8" ht="13" x14ac:dyDescent="0.3">
      <c r="B151" s="19"/>
      <c r="C151" s="13"/>
      <c r="D151" s="17"/>
      <c r="E151" s="17"/>
      <c r="F151" s="18"/>
      <c r="G151" s="19"/>
      <c r="H151" s="4"/>
    </row>
    <row r="152" spans="2:8" ht="13" x14ac:dyDescent="0.3">
      <c r="B152" s="19"/>
      <c r="C152" s="13"/>
      <c r="D152" s="17"/>
      <c r="E152" s="17"/>
      <c r="F152" s="18"/>
      <c r="G152" s="19"/>
      <c r="H152" s="4"/>
    </row>
    <row r="153" spans="2:8" ht="13" x14ac:dyDescent="0.3">
      <c r="B153" s="19"/>
      <c r="C153" s="13"/>
      <c r="D153" s="17"/>
      <c r="E153" s="17"/>
      <c r="F153" s="18"/>
      <c r="G153" s="19"/>
      <c r="H153" s="4"/>
    </row>
    <row r="154" spans="2:8" ht="13" x14ac:dyDescent="0.3">
      <c r="B154" s="19"/>
      <c r="C154" s="13"/>
      <c r="D154" s="17"/>
      <c r="E154" s="17"/>
      <c r="F154" s="18"/>
      <c r="G154" s="19"/>
      <c r="H154" s="4"/>
    </row>
    <row r="155" spans="2:8" ht="13" x14ac:dyDescent="0.3">
      <c r="B155" s="19"/>
      <c r="C155" s="13"/>
      <c r="D155" s="17"/>
      <c r="E155" s="17"/>
      <c r="F155" s="18"/>
      <c r="G155" s="19"/>
      <c r="H155" s="4"/>
    </row>
    <row r="156" spans="2:8" ht="13" x14ac:dyDescent="0.3">
      <c r="B156" s="19"/>
      <c r="C156" s="13"/>
      <c r="D156" s="17"/>
      <c r="E156" s="17"/>
      <c r="F156" s="18"/>
      <c r="G156" s="19"/>
      <c r="H156" s="4"/>
    </row>
    <row r="157" spans="2:8" ht="13" x14ac:dyDescent="0.3">
      <c r="B157" s="19"/>
      <c r="C157" s="13"/>
      <c r="D157" s="17"/>
      <c r="E157" s="17"/>
      <c r="F157" s="18"/>
      <c r="G157" s="19"/>
      <c r="H157" s="4"/>
    </row>
    <row r="158" spans="2:8" ht="13" x14ac:dyDescent="0.3">
      <c r="B158" s="19"/>
      <c r="C158" s="13"/>
      <c r="D158" s="17"/>
      <c r="E158" s="17"/>
      <c r="F158" s="18"/>
      <c r="G158" s="19"/>
      <c r="H158" s="4"/>
    </row>
    <row r="159" spans="2:8" ht="13" x14ac:dyDescent="0.3">
      <c r="B159" s="19"/>
      <c r="C159" s="13"/>
      <c r="D159" s="17"/>
      <c r="E159" s="17"/>
      <c r="F159" s="18"/>
      <c r="G159" s="19"/>
      <c r="H159" s="4"/>
    </row>
    <row r="160" spans="2:8" ht="13" x14ac:dyDescent="0.3">
      <c r="B160" s="19"/>
      <c r="C160" s="13"/>
      <c r="D160" s="17"/>
      <c r="E160" s="17"/>
      <c r="F160" s="18"/>
      <c r="G160" s="19"/>
      <c r="H160" s="4"/>
    </row>
    <row r="161" spans="2:8" ht="13" x14ac:dyDescent="0.3">
      <c r="B161" s="19"/>
      <c r="C161" s="13"/>
      <c r="D161" s="17"/>
      <c r="E161" s="17"/>
      <c r="F161" s="18"/>
      <c r="G161" s="19"/>
      <c r="H161" s="4"/>
    </row>
    <row r="162" spans="2:8" ht="13" x14ac:dyDescent="0.3">
      <c r="B162" s="19"/>
      <c r="C162" s="13"/>
      <c r="D162" s="17"/>
      <c r="E162" s="17"/>
      <c r="F162" s="18"/>
      <c r="G162" s="19"/>
      <c r="H162" s="4"/>
    </row>
    <row r="163" spans="2:8" ht="13" x14ac:dyDescent="0.3">
      <c r="B163" s="19"/>
      <c r="C163" s="13"/>
      <c r="D163" s="17"/>
      <c r="E163" s="17"/>
      <c r="F163" s="18"/>
      <c r="G163" s="19"/>
      <c r="H163" s="4"/>
    </row>
    <row r="164" spans="2:8" ht="13" x14ac:dyDescent="0.3">
      <c r="B164" s="19"/>
      <c r="C164" s="13"/>
      <c r="D164" s="17"/>
      <c r="E164" s="17"/>
      <c r="F164" s="18"/>
      <c r="G164" s="19"/>
      <c r="H164" s="4"/>
    </row>
    <row r="165" spans="2:8" ht="13" x14ac:dyDescent="0.3">
      <c r="B165" s="19"/>
      <c r="C165" s="13"/>
      <c r="D165" s="17"/>
      <c r="E165" s="17"/>
      <c r="F165" s="18"/>
      <c r="G165" s="19"/>
      <c r="H165" s="4"/>
    </row>
    <row r="166" spans="2:8" ht="13" x14ac:dyDescent="0.3">
      <c r="B166" s="19"/>
      <c r="C166" s="13"/>
      <c r="D166" s="17"/>
      <c r="E166" s="17"/>
      <c r="F166" s="18"/>
      <c r="G166" s="19"/>
      <c r="H166" s="4"/>
    </row>
    <row r="167" spans="2:8" ht="13" x14ac:dyDescent="0.3">
      <c r="B167" s="19"/>
      <c r="C167" s="13"/>
      <c r="D167" s="17"/>
      <c r="E167" s="17"/>
      <c r="F167" s="18"/>
      <c r="G167" s="19"/>
      <c r="H167" s="4"/>
    </row>
    <row r="168" spans="2:8" ht="13" x14ac:dyDescent="0.3">
      <c r="B168" s="19"/>
      <c r="C168" s="13"/>
      <c r="D168" s="17"/>
      <c r="E168" s="17"/>
      <c r="F168" s="18"/>
      <c r="G168" s="19"/>
      <c r="H168" s="4"/>
    </row>
    <row r="169" spans="2:8" ht="13" x14ac:dyDescent="0.3">
      <c r="B169" s="19"/>
      <c r="C169" s="13"/>
      <c r="D169" s="17"/>
      <c r="E169" s="17"/>
      <c r="F169" s="18"/>
      <c r="G169" s="19"/>
      <c r="H169" s="4"/>
    </row>
    <row r="170" spans="2:8" ht="13" x14ac:dyDescent="0.3">
      <c r="B170" s="19"/>
      <c r="C170" s="13"/>
      <c r="D170" s="17"/>
      <c r="E170" s="17"/>
      <c r="F170" s="18"/>
      <c r="G170" s="19"/>
      <c r="H170" s="4"/>
    </row>
    <row r="171" spans="2:8" ht="13" x14ac:dyDescent="0.3">
      <c r="B171" s="19"/>
      <c r="C171" s="13"/>
      <c r="D171" s="17"/>
      <c r="E171" s="17"/>
      <c r="F171" s="18"/>
      <c r="G171" s="19"/>
      <c r="H171" s="4"/>
    </row>
    <row r="172" spans="2:8" ht="13" x14ac:dyDescent="0.3">
      <c r="B172" s="19"/>
      <c r="C172" s="13"/>
      <c r="D172" s="17"/>
      <c r="E172" s="17"/>
      <c r="F172" s="18"/>
      <c r="G172" s="19"/>
      <c r="H172" s="4"/>
    </row>
    <row r="173" spans="2:8" ht="13" x14ac:dyDescent="0.3">
      <c r="B173" s="19"/>
      <c r="C173" s="13"/>
      <c r="D173" s="17"/>
      <c r="E173" s="17"/>
      <c r="F173" s="18"/>
      <c r="G173" s="19"/>
      <c r="H173" s="4"/>
    </row>
    <row r="174" spans="2:8" ht="13" x14ac:dyDescent="0.3">
      <c r="B174" s="19"/>
      <c r="C174" s="13"/>
      <c r="D174" s="17"/>
      <c r="E174" s="17"/>
      <c r="F174" s="18"/>
      <c r="G174" s="19"/>
      <c r="H174" s="4"/>
    </row>
    <row r="175" spans="2:8" ht="13" x14ac:dyDescent="0.3">
      <c r="B175" s="19"/>
      <c r="C175" s="13"/>
      <c r="D175" s="17"/>
      <c r="E175" s="17"/>
      <c r="F175" s="18"/>
      <c r="G175" s="19"/>
      <c r="H175" s="4"/>
    </row>
    <row r="176" spans="2:8" ht="13" x14ac:dyDescent="0.3">
      <c r="B176" s="19"/>
      <c r="C176" s="13"/>
      <c r="D176" s="17"/>
      <c r="E176" s="17"/>
      <c r="F176" s="18"/>
      <c r="G176" s="19"/>
      <c r="H176" s="4"/>
    </row>
    <row r="177" spans="2:8" ht="13" x14ac:dyDescent="0.3">
      <c r="B177" s="19"/>
      <c r="C177" s="13"/>
      <c r="D177" s="17"/>
      <c r="E177" s="17"/>
      <c r="F177" s="18"/>
      <c r="G177" s="19"/>
      <c r="H177" s="4"/>
    </row>
    <row r="178" spans="2:8" ht="13" x14ac:dyDescent="0.3">
      <c r="B178" s="19"/>
      <c r="C178" s="13"/>
      <c r="D178" s="17"/>
      <c r="E178" s="17"/>
      <c r="F178" s="18"/>
      <c r="G178" s="19"/>
      <c r="H178" s="4"/>
    </row>
    <row r="179" spans="2:8" ht="13" x14ac:dyDescent="0.3">
      <c r="B179" s="19"/>
      <c r="C179" s="13"/>
      <c r="D179" s="17"/>
      <c r="E179" s="17"/>
      <c r="F179" s="18"/>
      <c r="G179" s="19"/>
      <c r="H179" s="4"/>
    </row>
    <row r="180" spans="2:8" ht="13" x14ac:dyDescent="0.3">
      <c r="B180" s="19"/>
      <c r="C180" s="13"/>
      <c r="D180" s="17"/>
      <c r="E180" s="17"/>
      <c r="F180" s="18"/>
      <c r="G180" s="19"/>
      <c r="H180" s="4"/>
    </row>
    <row r="181" spans="2:8" ht="13" x14ac:dyDescent="0.3">
      <c r="B181" s="19"/>
      <c r="C181" s="13"/>
      <c r="D181" s="17"/>
      <c r="E181" s="17"/>
      <c r="F181" s="18"/>
      <c r="G181" s="19"/>
      <c r="H181" s="4"/>
    </row>
    <row r="182" spans="2:8" ht="13" x14ac:dyDescent="0.3">
      <c r="B182" s="19"/>
      <c r="C182" s="13"/>
      <c r="D182" s="17"/>
      <c r="E182" s="17"/>
      <c r="F182" s="18"/>
      <c r="G182" s="19"/>
      <c r="H182" s="4"/>
    </row>
    <row r="183" spans="2:8" ht="13" x14ac:dyDescent="0.3">
      <c r="B183" s="19"/>
      <c r="C183" s="13"/>
      <c r="D183" s="17"/>
      <c r="E183" s="17"/>
      <c r="F183" s="18"/>
      <c r="G183" s="19"/>
      <c r="H183" s="4"/>
    </row>
    <row r="184" spans="2:8" ht="13" x14ac:dyDescent="0.3">
      <c r="B184" s="19"/>
      <c r="C184" s="13"/>
      <c r="D184" s="17"/>
      <c r="E184" s="17"/>
      <c r="F184" s="18"/>
      <c r="G184" s="19"/>
      <c r="H184" s="4"/>
    </row>
    <row r="185" spans="2:8" ht="13" x14ac:dyDescent="0.3">
      <c r="B185" s="19"/>
      <c r="C185" s="13"/>
      <c r="D185" s="17"/>
      <c r="E185" s="17"/>
      <c r="F185" s="18"/>
      <c r="G185" s="19"/>
      <c r="H185" s="4"/>
    </row>
    <row r="186" spans="2:8" ht="13" x14ac:dyDescent="0.3">
      <c r="B186" s="19"/>
      <c r="C186" s="13"/>
      <c r="D186" s="17"/>
      <c r="E186" s="17"/>
      <c r="F186" s="18"/>
      <c r="G186" s="19"/>
      <c r="H186" s="4"/>
    </row>
    <row r="187" spans="2:8" ht="13" x14ac:dyDescent="0.3">
      <c r="B187" s="19"/>
      <c r="C187" s="13"/>
      <c r="D187" s="17"/>
      <c r="E187" s="17"/>
      <c r="F187" s="18"/>
      <c r="G187" s="19"/>
      <c r="H187" s="4"/>
    </row>
    <row r="188" spans="2:8" ht="13" x14ac:dyDescent="0.3">
      <c r="B188" s="19"/>
      <c r="C188" s="13"/>
      <c r="D188" s="17"/>
      <c r="E188" s="17"/>
      <c r="F188" s="18"/>
      <c r="G188" s="19"/>
      <c r="H188" s="4"/>
    </row>
    <row r="189" spans="2:8" ht="13" x14ac:dyDescent="0.3">
      <c r="B189" s="19"/>
      <c r="C189" s="13"/>
      <c r="D189" s="17"/>
      <c r="E189" s="17"/>
      <c r="F189" s="18"/>
      <c r="G189" s="19"/>
      <c r="H189" s="4"/>
    </row>
    <row r="190" spans="2:8" ht="13" x14ac:dyDescent="0.3">
      <c r="B190" s="19"/>
      <c r="C190" s="13"/>
      <c r="D190" s="17"/>
      <c r="E190" s="17"/>
      <c r="F190" s="18"/>
      <c r="G190" s="19"/>
      <c r="H190" s="4"/>
    </row>
    <row r="191" spans="2:8" ht="13" x14ac:dyDescent="0.3">
      <c r="B191" s="19"/>
      <c r="C191" s="13"/>
      <c r="D191" s="17"/>
      <c r="E191" s="17"/>
      <c r="F191" s="18"/>
      <c r="G191" s="19"/>
      <c r="H191" s="4"/>
    </row>
    <row r="192" spans="2:8" ht="13" x14ac:dyDescent="0.3">
      <c r="B192" s="19"/>
      <c r="C192" s="13"/>
      <c r="D192" s="17"/>
      <c r="E192" s="17"/>
      <c r="F192" s="18"/>
      <c r="G192" s="19"/>
      <c r="H192" s="4"/>
    </row>
    <row r="193" spans="2:8" ht="13" x14ac:dyDescent="0.3">
      <c r="B193" s="19"/>
      <c r="C193" s="13"/>
      <c r="D193" s="17"/>
      <c r="E193" s="17"/>
      <c r="F193" s="18"/>
      <c r="G193" s="19"/>
      <c r="H193" s="4"/>
    </row>
    <row r="194" spans="2:8" ht="13" x14ac:dyDescent="0.3">
      <c r="B194" s="19"/>
      <c r="C194" s="13"/>
      <c r="D194" s="17"/>
      <c r="E194" s="17"/>
      <c r="F194" s="18"/>
      <c r="G194" s="19"/>
      <c r="H194" s="4"/>
    </row>
    <row r="195" spans="2:8" ht="13" x14ac:dyDescent="0.3">
      <c r="B195" s="19"/>
      <c r="C195" s="13"/>
      <c r="D195" s="17"/>
      <c r="E195" s="17"/>
      <c r="F195" s="18"/>
      <c r="G195" s="19"/>
      <c r="H195" s="4"/>
    </row>
    <row r="196" spans="2:8" ht="13" x14ac:dyDescent="0.3">
      <c r="B196" s="19"/>
      <c r="C196" s="13"/>
      <c r="D196" s="17"/>
      <c r="E196" s="17"/>
      <c r="F196" s="18"/>
      <c r="G196" s="19"/>
      <c r="H196" s="4"/>
    </row>
    <row r="197" spans="2:8" ht="13" x14ac:dyDescent="0.3">
      <c r="B197" s="19"/>
      <c r="C197" s="13"/>
      <c r="D197" s="17"/>
      <c r="E197" s="17"/>
      <c r="F197" s="18"/>
      <c r="G197" s="19"/>
      <c r="H197" s="4"/>
    </row>
    <row r="198" spans="2:8" ht="13" x14ac:dyDescent="0.3">
      <c r="B198" s="19"/>
      <c r="C198" s="13"/>
      <c r="D198" s="17"/>
      <c r="E198" s="17"/>
      <c r="F198" s="18"/>
      <c r="G198" s="19"/>
      <c r="H198" s="4"/>
    </row>
    <row r="199" spans="2:8" ht="13" x14ac:dyDescent="0.3">
      <c r="B199" s="19"/>
      <c r="C199" s="13"/>
      <c r="D199" s="17"/>
      <c r="E199" s="17"/>
      <c r="F199" s="18"/>
      <c r="G199" s="19"/>
      <c r="H199" s="4"/>
    </row>
    <row r="200" spans="2:8" ht="13" x14ac:dyDescent="0.3">
      <c r="B200" s="19"/>
      <c r="C200" s="13"/>
      <c r="D200" s="17"/>
      <c r="E200" s="17"/>
      <c r="F200" s="18"/>
      <c r="G200" s="19"/>
      <c r="H200" s="4"/>
    </row>
    <row r="201" spans="2:8" ht="13" x14ac:dyDescent="0.3">
      <c r="B201" s="19"/>
      <c r="C201" s="13"/>
      <c r="D201" s="17"/>
      <c r="E201" s="17"/>
      <c r="F201" s="18"/>
      <c r="G201" s="19"/>
      <c r="H201" s="4"/>
    </row>
    <row r="202" spans="2:8" ht="13" x14ac:dyDescent="0.3">
      <c r="B202" s="19"/>
      <c r="C202" s="13"/>
      <c r="D202" s="17"/>
      <c r="E202" s="17"/>
      <c r="F202" s="18"/>
      <c r="G202" s="19"/>
      <c r="H202" s="4"/>
    </row>
    <row r="203" spans="2:8" ht="13" x14ac:dyDescent="0.3">
      <c r="B203" s="19"/>
      <c r="C203" s="13"/>
      <c r="D203" s="17"/>
      <c r="E203" s="17"/>
      <c r="F203" s="18"/>
      <c r="G203" s="19"/>
      <c r="H203" s="4"/>
    </row>
    <row r="204" spans="2:8" ht="13" x14ac:dyDescent="0.3">
      <c r="B204" s="19"/>
      <c r="C204" s="13"/>
      <c r="D204" s="17"/>
      <c r="E204" s="17"/>
      <c r="F204" s="18"/>
      <c r="G204" s="19"/>
      <c r="H204" s="4"/>
    </row>
    <row r="205" spans="2:8" ht="13" x14ac:dyDescent="0.3">
      <c r="B205" s="19"/>
      <c r="C205" s="13"/>
      <c r="D205" s="17"/>
      <c r="E205" s="17"/>
      <c r="F205" s="18"/>
      <c r="G205" s="19"/>
      <c r="H205" s="4"/>
    </row>
    <row r="206" spans="2:8" ht="13" x14ac:dyDescent="0.3">
      <c r="B206" s="19"/>
      <c r="C206" s="13"/>
      <c r="D206" s="17"/>
      <c r="E206" s="17"/>
      <c r="F206" s="18"/>
      <c r="G206" s="19"/>
      <c r="H206" s="4"/>
    </row>
    <row r="207" spans="2:8" ht="13" x14ac:dyDescent="0.3">
      <c r="B207" s="19"/>
      <c r="C207" s="13"/>
      <c r="D207" s="17"/>
      <c r="E207" s="17"/>
      <c r="F207" s="18"/>
      <c r="G207" s="19"/>
      <c r="H207" s="4"/>
    </row>
    <row r="208" spans="2:8" ht="13" x14ac:dyDescent="0.3">
      <c r="B208" s="19"/>
      <c r="C208" s="13"/>
      <c r="D208" s="17"/>
      <c r="E208" s="17"/>
      <c r="F208" s="18"/>
      <c r="G208" s="19"/>
      <c r="H208" s="4"/>
    </row>
    <row r="209" spans="2:8" ht="13" x14ac:dyDescent="0.3">
      <c r="B209" s="19"/>
      <c r="C209" s="13"/>
      <c r="D209" s="17"/>
      <c r="E209" s="17"/>
      <c r="F209" s="18"/>
      <c r="G209" s="19"/>
      <c r="H209" s="4"/>
    </row>
    <row r="210" spans="2:8" ht="13" x14ac:dyDescent="0.3">
      <c r="B210" s="19"/>
      <c r="C210" s="13"/>
      <c r="D210" s="17"/>
      <c r="E210" s="17"/>
      <c r="F210" s="18"/>
      <c r="G210" s="19"/>
      <c r="H210" s="4"/>
    </row>
    <row r="211" spans="2:8" ht="13" x14ac:dyDescent="0.3">
      <c r="B211" s="19"/>
      <c r="C211" s="13"/>
      <c r="D211" s="17"/>
      <c r="E211" s="17"/>
      <c r="F211" s="18"/>
      <c r="G211" s="19"/>
      <c r="H211" s="4"/>
    </row>
    <row r="212" spans="2:8" ht="13" x14ac:dyDescent="0.3">
      <c r="B212" s="19"/>
      <c r="C212" s="13"/>
      <c r="D212" s="17"/>
      <c r="E212" s="17"/>
      <c r="F212" s="18"/>
      <c r="G212" s="19"/>
      <c r="H212" s="4"/>
    </row>
    <row r="213" spans="2:8" ht="13" x14ac:dyDescent="0.3">
      <c r="B213" s="19"/>
      <c r="C213" s="13"/>
      <c r="D213" s="17"/>
      <c r="E213" s="17"/>
      <c r="F213" s="18"/>
      <c r="G213" s="19"/>
      <c r="H213" s="4"/>
    </row>
    <row r="214" spans="2:8" ht="13" x14ac:dyDescent="0.3">
      <c r="B214" s="19"/>
      <c r="C214" s="13"/>
      <c r="D214" s="17"/>
      <c r="E214" s="17"/>
      <c r="F214" s="18"/>
      <c r="G214" s="19"/>
      <c r="H214" s="4"/>
    </row>
    <row r="215" spans="2:8" ht="13" x14ac:dyDescent="0.3">
      <c r="B215" s="19"/>
      <c r="C215" s="13"/>
      <c r="D215" s="17"/>
      <c r="E215" s="17"/>
      <c r="F215" s="18"/>
      <c r="G215" s="19"/>
      <c r="H215" s="4"/>
    </row>
    <row r="216" spans="2:8" ht="13" x14ac:dyDescent="0.3">
      <c r="B216" s="19"/>
      <c r="C216" s="13"/>
      <c r="D216" s="17"/>
      <c r="E216" s="17"/>
      <c r="F216" s="18"/>
      <c r="G216" s="19"/>
      <c r="H216" s="4"/>
    </row>
    <row r="217" spans="2:8" ht="13" x14ac:dyDescent="0.3">
      <c r="B217" s="19"/>
      <c r="C217" s="13"/>
      <c r="D217" s="17"/>
      <c r="E217" s="17"/>
      <c r="F217" s="18"/>
      <c r="G217" s="19"/>
      <c r="H217" s="4"/>
    </row>
    <row r="218" spans="2:8" ht="13" x14ac:dyDescent="0.3">
      <c r="B218" s="19"/>
      <c r="C218" s="13"/>
      <c r="D218" s="17"/>
      <c r="E218" s="17"/>
      <c r="F218" s="18"/>
      <c r="G218" s="19"/>
      <c r="H218" s="4"/>
    </row>
    <row r="219" spans="2:8" ht="13" x14ac:dyDescent="0.3">
      <c r="B219" s="19"/>
      <c r="C219" s="13"/>
      <c r="D219" s="17"/>
      <c r="E219" s="17"/>
      <c r="F219" s="18"/>
      <c r="G219" s="19"/>
      <c r="H219" s="4"/>
    </row>
  </sheetData>
  <sheetProtection selectLockedCells="1"/>
  <dataConsolidate/>
  <mergeCells count="4">
    <mergeCell ref="D15:F15"/>
    <mergeCell ref="C15:C16"/>
    <mergeCell ref="B15:B16"/>
    <mergeCell ref="F38:F40"/>
  </mergeCells>
  <phoneticPr fontId="2" type="noConversion"/>
  <dataValidations xWindow="837" yWindow="491" count="9">
    <dataValidation type="decimal" showInputMessage="1" showErrorMessage="1" errorTitle="Invalid VCAP Voltage" error="VCAP must be between 0.8V and 5.4V." promptTitle="VCAP Float Voltage" prompt="VCAP must be between 0.8V and 5.4V." sqref="C25" xr:uid="{00000000-0002-0000-0000-000000000000}">
      <formula1>0.8</formula1>
      <formula2>5.4</formula2>
    </dataValidation>
    <dataValidation type="decimal" showInputMessage="1" showErrorMessage="1" errorTitle="Invalid VOUT Voltage" error="VOUT must be between 2.7V and 5V." promptTitle="VOUT Backup voltage" prompt="VOUT must be between 2.7V and 5V." sqref="C17" xr:uid="{00000000-0002-0000-0000-000002000000}">
      <formula1>2.7</formula1>
      <formula2>5</formula2>
    </dataValidation>
    <dataValidation type="decimal" showInputMessage="1" showErrorMessage="1" errorTitle="Invalid Efficiency" error="Efficiency must be between 0.1 and 100." promptTitle="Efficiency" prompt="Enter the Efficiency in %." sqref="C23" xr:uid="{00000000-0002-0000-0000-000003000000}">
      <formula1>0.1</formula1>
      <formula2>100</formula2>
    </dataValidation>
    <dataValidation type="decimal" showInputMessage="1" showErrorMessage="1" errorTitle="Invalid EOL Capacitance" error="EOL capacitance must be 0.1% and 100%." promptTitle="EOL Capacitance" prompt="Enter the percentage of initial capacitance for EOL" sqref="C11" xr:uid="{00000000-0002-0000-0000-000004000000}">
      <formula1>0.1</formula1>
      <formula2>100</formula2>
    </dataValidation>
    <dataValidation type="decimal" operator="greaterThan" showInputMessage="1" showErrorMessage="1" errorTitle="Invalid EOL ESR" error="EOL ESR must be greater than 100%" promptTitle="EOL ESR" prompt="Enter the percentage of initial ESR for EOL" sqref="C12" xr:uid="{00000000-0002-0000-0000-000005000000}">
      <formula1>100</formula1>
    </dataValidation>
    <dataValidation type="whole" showInputMessage="1" showErrorMessage="1" errorTitle="Invalid Entry" error="There must be either 1 or 2 supercapacitors in the stack." promptTitle="Number of Caps in Series" prompt="Enter the number of capacitors in the stack" sqref="C27" xr:uid="{00000000-0002-0000-0000-000007000000}">
      <formula1>1</formula1>
      <formula2>2</formula2>
    </dataValidation>
    <dataValidation type="decimal" operator="greaterThan" allowBlank="1" showInputMessage="1" showErrorMessage="1" errorTitle="Invalid Entry" error="Capacitance must be greater than 0F" promptTitle="Cell Capacitance " prompt="Enter the single cell capacitance in F." sqref="C29" xr:uid="{00000000-0002-0000-0000-000008000000}">
      <formula1>0</formula1>
    </dataValidation>
    <dataValidation type="decimal" operator="greaterThan" allowBlank="1" showInputMessage="1" showErrorMessage="1" errorTitle="Invalid Entry" error="ESR must be greater than 0Ω." promptTitle="Cell ESR" prompt="Enter the single cell ESR in Ω." sqref="C30" xr:uid="{00000000-0002-0000-0000-000009000000}">
      <formula1>0</formula1>
    </dataValidation>
    <dataValidation type="decimal" showInputMessage="1" showErrorMessage="1" errorTitle="Invalid Entry" error="Boost Peak Current must be between 0.058 and 580A." promptTitle="Boost Peak Current" prompt="Enter the boost peak current in Amps" sqref="C32" xr:uid="{00000000-0002-0000-0000-00000A000000}">
      <formula1>0.058</formula1>
      <formula2>580</formula2>
    </dataValidation>
  </dataValidations>
  <pageMargins left="0.52" right="0.51" top="0.53" bottom="0.7" header="0.4921259845" footer="0.61"/>
  <pageSetup paperSize="9" scale="78" orientation="portrait" r:id="rId1"/>
  <headerFooter alignWithMargins="0"/>
  <ignoredErrors>
    <ignoredError sqref="D35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/>
  <dimension ref="A1:H77"/>
  <sheetViews>
    <sheetView zoomScale="115" zoomScaleNormal="115" workbookViewId="0">
      <selection activeCell="G4" sqref="G4"/>
    </sheetView>
  </sheetViews>
  <sheetFormatPr defaultRowHeight="12.5" x14ac:dyDescent="0.25"/>
  <cols>
    <col min="1" max="1" width="3.26953125" customWidth="1"/>
    <col min="2" max="2" width="19.453125" customWidth="1"/>
    <col min="3" max="3" width="19.81640625" customWidth="1"/>
    <col min="4" max="4" width="9.90625" customWidth="1"/>
    <col min="5" max="5" width="3.36328125" customWidth="1"/>
    <col min="6" max="7" width="18.7265625" bestFit="1" customWidth="1"/>
    <col min="8" max="8" width="8.1796875" customWidth="1"/>
    <col min="9" max="10" width="18.7265625" bestFit="1" customWidth="1"/>
    <col min="11" max="11" width="9.26953125" customWidth="1"/>
    <col min="12" max="13" width="18.7265625" bestFit="1" customWidth="1"/>
    <col min="14" max="14" width="9.81640625" customWidth="1"/>
  </cols>
  <sheetData>
    <row r="1" spans="1:8" ht="13" thickBot="1" x14ac:dyDescent="0.3"/>
    <row r="2" spans="1:8" ht="13" x14ac:dyDescent="0.3">
      <c r="B2" s="119" t="s">
        <v>1</v>
      </c>
      <c r="C2" s="120"/>
      <c r="D2" s="121"/>
      <c r="E2" s="4"/>
      <c r="F2" s="119" t="s">
        <v>3</v>
      </c>
      <c r="G2" s="120"/>
      <c r="H2" s="121"/>
    </row>
    <row r="3" spans="1:8" x14ac:dyDescent="0.25">
      <c r="A3" s="85"/>
      <c r="B3" s="82" t="s">
        <v>34</v>
      </c>
      <c r="C3" s="83">
        <f>RSTK</f>
        <v>0.04</v>
      </c>
      <c r="D3" s="84" t="s">
        <v>35</v>
      </c>
      <c r="E3" s="83"/>
      <c r="F3" s="82" t="s">
        <v>34</v>
      </c>
      <c r="G3" s="83">
        <f>RSTK</f>
        <v>0.04</v>
      </c>
      <c r="H3" s="84" t="s">
        <v>35</v>
      </c>
    </row>
    <row r="4" spans="1:8" x14ac:dyDescent="0.25">
      <c r="A4" s="85"/>
      <c r="B4" s="82" t="s">
        <v>65</v>
      </c>
      <c r="C4" s="83">
        <f>CSTK</f>
        <v>5</v>
      </c>
      <c r="D4" s="84" t="s">
        <v>33</v>
      </c>
      <c r="E4" s="83"/>
      <c r="F4" s="82" t="s">
        <v>65</v>
      </c>
      <c r="G4" s="83">
        <f>CSTK_EOLC</f>
        <v>3.5</v>
      </c>
      <c r="H4" s="84" t="s">
        <v>33</v>
      </c>
    </row>
    <row r="5" spans="1:8" x14ac:dyDescent="0.25">
      <c r="A5" s="85"/>
      <c r="B5" s="82"/>
      <c r="C5" s="83"/>
      <c r="D5" s="84"/>
      <c r="E5" s="83"/>
      <c r="F5" s="82"/>
      <c r="G5" s="83"/>
      <c r="H5" s="84"/>
    </row>
    <row r="6" spans="1:8" x14ac:dyDescent="0.25">
      <c r="A6" s="85"/>
      <c r="B6" s="82" t="s">
        <v>69</v>
      </c>
      <c r="C6" s="83">
        <f>VCAP</f>
        <v>5</v>
      </c>
      <c r="D6" s="84" t="s">
        <v>32</v>
      </c>
      <c r="E6" s="83"/>
      <c r="F6" s="82" t="s">
        <v>69</v>
      </c>
      <c r="G6" s="83">
        <f>VCAP</f>
        <v>5</v>
      </c>
      <c r="H6" s="84" t="s">
        <v>32</v>
      </c>
    </row>
    <row r="7" spans="1:8" x14ac:dyDescent="0.25">
      <c r="A7" s="85"/>
      <c r="B7" s="82" t="s">
        <v>64</v>
      </c>
      <c r="C7" s="83">
        <f>minVSCAP + C3*IBSTpk</f>
        <v>2.97</v>
      </c>
      <c r="D7" s="84" t="s">
        <v>32</v>
      </c>
      <c r="E7" s="83"/>
      <c r="F7" s="82" t="s">
        <v>64</v>
      </c>
      <c r="G7" s="83">
        <f>minVSCAP + G3*IBSTpk</f>
        <v>2.97</v>
      </c>
      <c r="H7" s="84" t="s">
        <v>32</v>
      </c>
    </row>
    <row r="8" spans="1:8" x14ac:dyDescent="0.25">
      <c r="A8" s="85"/>
      <c r="B8" s="82" t="s">
        <v>57</v>
      </c>
      <c r="C8" s="85">
        <f>0.5 * C4 * (POWER(C6,2) - POWER(C7,2))</f>
        <v>40.447749999999999</v>
      </c>
      <c r="D8" s="86" t="s">
        <v>58</v>
      </c>
      <c r="E8" s="83"/>
      <c r="F8" s="82" t="s">
        <v>57</v>
      </c>
      <c r="G8" s="85">
        <f>0.5 * G4 * (POWER(G6,2) - POWER(G7,2))</f>
        <v>28.313424999999995</v>
      </c>
      <c r="H8" s="86" t="s">
        <v>58</v>
      </c>
    </row>
    <row r="9" spans="1:8" x14ac:dyDescent="0.25">
      <c r="A9" s="85"/>
      <c r="B9" s="82" t="s">
        <v>59</v>
      </c>
      <c r="C9" s="85">
        <f>C8 * EFF/100</f>
        <v>32.358199999999997</v>
      </c>
      <c r="D9" s="86" t="s">
        <v>58</v>
      </c>
      <c r="E9" s="83"/>
      <c r="F9" s="82" t="s">
        <v>59</v>
      </c>
      <c r="G9" s="85">
        <f>G8 * EFF/100</f>
        <v>22.650739999999995</v>
      </c>
      <c r="H9" s="86" t="s">
        <v>58</v>
      </c>
    </row>
    <row r="10" spans="1:8" x14ac:dyDescent="0.25">
      <c r="A10" s="85"/>
      <c r="B10" s="82" t="s">
        <v>60</v>
      </c>
      <c r="C10" s="85">
        <f>VBKUP * IOUT</f>
        <v>12.5</v>
      </c>
      <c r="D10" s="86" t="s">
        <v>61</v>
      </c>
      <c r="E10" s="83"/>
      <c r="F10" s="82" t="s">
        <v>60</v>
      </c>
      <c r="G10" s="85">
        <f>VBKUP * IOUT</f>
        <v>12.5</v>
      </c>
      <c r="H10" s="86" t="s">
        <v>61</v>
      </c>
    </row>
    <row r="11" spans="1:8" x14ac:dyDescent="0.25">
      <c r="A11" s="85"/>
      <c r="B11" s="82"/>
      <c r="C11" s="85"/>
      <c r="D11" s="86"/>
      <c r="E11" s="83"/>
      <c r="F11" s="82"/>
      <c r="G11" s="85"/>
      <c r="H11" s="86"/>
    </row>
    <row r="12" spans="1:8" ht="13" thickBot="1" x14ac:dyDescent="0.3">
      <c r="A12" s="85"/>
      <c r="B12" s="87" t="s">
        <v>62</v>
      </c>
      <c r="C12" s="88">
        <f>C9/C10</f>
        <v>2.5886559999999998</v>
      </c>
      <c r="D12" s="89" t="s">
        <v>63</v>
      </c>
      <c r="E12" s="83"/>
      <c r="F12" s="87" t="s">
        <v>62</v>
      </c>
      <c r="G12" s="88">
        <f>G9/G10</f>
        <v>1.8120591999999995</v>
      </c>
      <c r="H12" s="89" t="s">
        <v>63</v>
      </c>
    </row>
    <row r="13" spans="1:8" ht="13" thickBot="1" x14ac:dyDescent="0.3">
      <c r="A13" s="85"/>
      <c r="B13" s="90"/>
      <c r="C13" s="85"/>
      <c r="D13" s="85"/>
      <c r="E13" s="85"/>
    </row>
    <row r="14" spans="1:8" ht="13" x14ac:dyDescent="0.3">
      <c r="B14" s="119" t="s">
        <v>2</v>
      </c>
      <c r="C14" s="120"/>
      <c r="D14" s="121"/>
      <c r="F14" s="119" t="s">
        <v>36</v>
      </c>
      <c r="G14" s="120"/>
      <c r="H14" s="121"/>
    </row>
    <row r="15" spans="1:8" x14ac:dyDescent="0.25">
      <c r="B15" s="82" t="s">
        <v>34</v>
      </c>
      <c r="C15" s="83">
        <f>RSTK_EOLR</f>
        <v>0.08</v>
      </c>
      <c r="D15" s="84" t="s">
        <v>35</v>
      </c>
      <c r="F15" s="82" t="s">
        <v>34</v>
      </c>
      <c r="G15" s="83">
        <f>RSTK_EOLR</f>
        <v>0.08</v>
      </c>
      <c r="H15" s="84" t="s">
        <v>35</v>
      </c>
    </row>
    <row r="16" spans="1:8" x14ac:dyDescent="0.25">
      <c r="B16" s="82" t="s">
        <v>65</v>
      </c>
      <c r="C16" s="83">
        <f>CSTK</f>
        <v>5</v>
      </c>
      <c r="D16" s="84" t="s">
        <v>33</v>
      </c>
      <c r="F16" s="82" t="s">
        <v>65</v>
      </c>
      <c r="G16" s="83">
        <f>CSTK_EOLC</f>
        <v>3.5</v>
      </c>
      <c r="H16" s="84" t="s">
        <v>33</v>
      </c>
    </row>
    <row r="17" spans="2:8" ht="13" x14ac:dyDescent="0.3">
      <c r="B17" s="82"/>
      <c r="C17" s="83"/>
      <c r="D17" s="84"/>
      <c r="E17" s="11"/>
      <c r="F17" s="82"/>
      <c r="G17" s="83"/>
      <c r="H17" s="84"/>
    </row>
    <row r="18" spans="2:8" ht="13" x14ac:dyDescent="0.3">
      <c r="B18" s="82" t="s">
        <v>69</v>
      </c>
      <c r="C18" s="83">
        <f>VCAP</f>
        <v>5</v>
      </c>
      <c r="D18" s="84" t="s">
        <v>32</v>
      </c>
      <c r="E18" s="11"/>
      <c r="F18" s="82" t="s">
        <v>69</v>
      </c>
      <c r="G18" s="83">
        <f>VCAP</f>
        <v>5</v>
      </c>
      <c r="H18" s="84" t="s">
        <v>32</v>
      </c>
    </row>
    <row r="19" spans="2:8" ht="13" x14ac:dyDescent="0.3">
      <c r="B19" s="82" t="s">
        <v>64</v>
      </c>
      <c r="C19" s="83">
        <f>minVSCAP + C15*IBSTpk</f>
        <v>3.19</v>
      </c>
      <c r="D19" s="84" t="s">
        <v>32</v>
      </c>
      <c r="E19" s="11"/>
      <c r="F19" s="82" t="s">
        <v>64</v>
      </c>
      <c r="G19" s="83">
        <f>minVSCAP + G15*IBSTpk</f>
        <v>3.19</v>
      </c>
      <c r="H19" s="84" t="s">
        <v>32</v>
      </c>
    </row>
    <row r="20" spans="2:8" ht="13" x14ac:dyDescent="0.3">
      <c r="B20" s="82" t="s">
        <v>57</v>
      </c>
      <c r="C20" s="85">
        <f>0.5 * C16 * (POWER(C18,2) - POWER(C19,2))</f>
        <v>37.059750000000001</v>
      </c>
      <c r="D20" s="86" t="s">
        <v>58</v>
      </c>
      <c r="E20" s="11"/>
      <c r="F20" s="82" t="s">
        <v>57</v>
      </c>
      <c r="G20" s="85">
        <f>0.5 * G16 * (POWER(G18,2) - POWER(G19,2))</f>
        <v>25.941825000000001</v>
      </c>
      <c r="H20" s="86" t="s">
        <v>58</v>
      </c>
    </row>
    <row r="21" spans="2:8" ht="13" x14ac:dyDescent="0.3">
      <c r="B21" s="82" t="s">
        <v>59</v>
      </c>
      <c r="C21" s="85">
        <f>C20 * EFF/100</f>
        <v>29.647800000000004</v>
      </c>
      <c r="D21" s="86" t="s">
        <v>58</v>
      </c>
      <c r="E21" s="11"/>
      <c r="F21" s="82" t="s">
        <v>59</v>
      </c>
      <c r="G21" s="85">
        <f>G20 * EFF/100</f>
        <v>20.75346</v>
      </c>
      <c r="H21" s="86" t="s">
        <v>58</v>
      </c>
    </row>
    <row r="22" spans="2:8" x14ac:dyDescent="0.25">
      <c r="B22" s="82" t="s">
        <v>60</v>
      </c>
      <c r="C22" s="85">
        <f>VBKUP * IOUT</f>
        <v>12.5</v>
      </c>
      <c r="D22" s="86" t="s">
        <v>61</v>
      </c>
      <c r="F22" s="82" t="s">
        <v>60</v>
      </c>
      <c r="G22" s="85">
        <f>VBKUP * IOUT</f>
        <v>12.5</v>
      </c>
      <c r="H22" s="86" t="s">
        <v>61</v>
      </c>
    </row>
    <row r="23" spans="2:8" x14ac:dyDescent="0.25">
      <c r="B23" s="82"/>
      <c r="C23" s="85"/>
      <c r="D23" s="86"/>
      <c r="F23" s="82"/>
      <c r="G23" s="85"/>
      <c r="H23" s="86"/>
    </row>
    <row r="24" spans="2:8" ht="13" thickBot="1" x14ac:dyDescent="0.3">
      <c r="B24" s="87" t="s">
        <v>62</v>
      </c>
      <c r="C24" s="88">
        <f>C21/C22</f>
        <v>2.3718240000000002</v>
      </c>
      <c r="D24" s="89" t="s">
        <v>63</v>
      </c>
      <c r="F24" s="87" t="s">
        <v>62</v>
      </c>
      <c r="G24" s="88">
        <f>G21/G22</f>
        <v>1.6602768000000001</v>
      </c>
      <c r="H24" s="89" t="s">
        <v>63</v>
      </c>
    </row>
    <row r="26" spans="2:8" ht="14.5" customHeight="1" x14ac:dyDescent="0.25">
      <c r="B26" s="96"/>
      <c r="C26" s="96"/>
      <c r="D26" s="96"/>
      <c r="E26" s="96"/>
      <c r="F26" s="96"/>
      <c r="G26" s="96"/>
      <c r="H26" s="96"/>
    </row>
    <row r="27" spans="2:8" ht="14.5" customHeight="1" x14ac:dyDescent="0.25">
      <c r="B27" s="96"/>
      <c r="C27" s="96"/>
      <c r="D27" s="96"/>
      <c r="E27" s="96"/>
      <c r="F27" s="96"/>
      <c r="G27" s="96"/>
      <c r="H27" s="96"/>
    </row>
    <row r="28" spans="2:8" s="88" customFormat="1" ht="12.5" customHeight="1" thickBot="1" x14ac:dyDescent="0.3">
      <c r="B28" s="100"/>
      <c r="C28" s="100"/>
      <c r="D28" s="100"/>
      <c r="E28" s="100"/>
      <c r="F28" s="100"/>
      <c r="G28" s="100"/>
      <c r="H28" s="100"/>
    </row>
    <row r="29" spans="2:8" ht="12.5" customHeight="1" x14ac:dyDescent="0.25">
      <c r="B29" s="96"/>
      <c r="C29" s="96"/>
      <c r="D29" s="96"/>
      <c r="E29" s="96"/>
      <c r="F29" s="96"/>
      <c r="G29" s="96"/>
      <c r="H29" s="96"/>
    </row>
    <row r="30" spans="2:8" x14ac:dyDescent="0.25">
      <c r="E30" t="s">
        <v>40</v>
      </c>
      <c r="F30" s="118" t="s">
        <v>50</v>
      </c>
      <c r="G30" s="118"/>
    </row>
    <row r="31" spans="2:8" x14ac:dyDescent="0.25">
      <c r="F31" t="s">
        <v>38</v>
      </c>
      <c r="G31" t="s">
        <v>39</v>
      </c>
    </row>
    <row r="32" spans="2:8" x14ac:dyDescent="0.25">
      <c r="E32">
        <v>1E-3</v>
      </c>
      <c r="F32">
        <v>0.4</v>
      </c>
      <c r="G32">
        <v>0.53</v>
      </c>
    </row>
    <row r="33" spans="5:7" x14ac:dyDescent="0.25">
      <c r="E33">
        <v>0.01</v>
      </c>
      <c r="F33">
        <v>0.45</v>
      </c>
      <c r="G33">
        <v>0.56000000000000005</v>
      </c>
    </row>
    <row r="34" spans="5:7" x14ac:dyDescent="0.25">
      <c r="E34">
        <v>0.1</v>
      </c>
      <c r="F34">
        <v>0.5</v>
      </c>
      <c r="G34">
        <v>0.65</v>
      </c>
    </row>
    <row r="35" spans="5:7" x14ac:dyDescent="0.25">
      <c r="E35">
        <v>0.3</v>
      </c>
      <c r="F35">
        <v>0.7</v>
      </c>
      <c r="G35">
        <v>0.8</v>
      </c>
    </row>
    <row r="36" spans="5:7" x14ac:dyDescent="0.25">
      <c r="E36">
        <v>1</v>
      </c>
      <c r="F36">
        <v>1.4</v>
      </c>
      <c r="G36">
        <v>1.55</v>
      </c>
    </row>
    <row r="37" spans="5:7" x14ac:dyDescent="0.25">
      <c r="E37">
        <v>1.5</v>
      </c>
      <c r="F37">
        <v>1.7</v>
      </c>
      <c r="G37">
        <v>1.8</v>
      </c>
    </row>
    <row r="38" spans="5:7" x14ac:dyDescent="0.25">
      <c r="E38">
        <v>2.5</v>
      </c>
      <c r="F38">
        <v>2.75</v>
      </c>
      <c r="G38">
        <v>2.75</v>
      </c>
    </row>
    <row r="39" spans="5:7" x14ac:dyDescent="0.25">
      <c r="E39" s="95">
        <v>2.6</v>
      </c>
      <c r="F39" s="95">
        <v>2.75</v>
      </c>
      <c r="G39" s="95">
        <v>2.75</v>
      </c>
    </row>
    <row r="44" spans="5:7" ht="13" x14ac:dyDescent="0.3">
      <c r="E44" s="92" t="s">
        <v>41</v>
      </c>
      <c r="F44">
        <f>IOUT</f>
        <v>2.5</v>
      </c>
      <c r="G44" t="s">
        <v>29</v>
      </c>
    </row>
    <row r="45" spans="5:7" ht="13" x14ac:dyDescent="0.3">
      <c r="E45" s="21"/>
    </row>
    <row r="46" spans="5:7" ht="13" x14ac:dyDescent="0.3">
      <c r="E46" s="92" t="s">
        <v>43</v>
      </c>
      <c r="F46">
        <f t="array" ref="F46">MAX(IF(E32:E39&lt;=F44,E32:E39))</f>
        <v>2.5</v>
      </c>
      <c r="G46" t="s">
        <v>29</v>
      </c>
    </row>
    <row r="47" spans="5:7" ht="13" x14ac:dyDescent="0.3">
      <c r="E47" s="92" t="s">
        <v>42</v>
      </c>
      <c r="F47">
        <f t="array" ref="F47">MIN(IF(E32:E39&gt;F44,E32:E39))</f>
        <v>2.6</v>
      </c>
      <c r="G47" t="s">
        <v>29</v>
      </c>
    </row>
    <row r="48" spans="5:7" ht="13" x14ac:dyDescent="0.3">
      <c r="E48" s="92"/>
    </row>
    <row r="49" spans="5:7" ht="13" x14ac:dyDescent="0.3">
      <c r="E49" s="21"/>
      <c r="F49" s="93" t="s">
        <v>38</v>
      </c>
      <c r="G49" s="93" t="s">
        <v>39</v>
      </c>
    </row>
    <row r="50" spans="5:7" ht="13" x14ac:dyDescent="0.3">
      <c r="E50" s="92" t="s">
        <v>47</v>
      </c>
      <c r="F50">
        <f>VLOOKUP(F46,E32:G38,2)</f>
        <v>2.75</v>
      </c>
      <c r="G50">
        <f>VLOOKUP(F46,E32:G38,3)</f>
        <v>2.75</v>
      </c>
    </row>
    <row r="51" spans="5:7" ht="13" x14ac:dyDescent="0.3">
      <c r="E51" s="92" t="s">
        <v>48</v>
      </c>
      <c r="F51">
        <f>VLOOKUP(F47,E32:G38,2)</f>
        <v>2.75</v>
      </c>
      <c r="G51">
        <f>VLOOKUP(F47,E32:G38,3)</f>
        <v>2.75</v>
      </c>
    </row>
    <row r="52" spans="5:7" ht="13" x14ac:dyDescent="0.3">
      <c r="E52" s="92"/>
    </row>
    <row r="53" spans="5:7" ht="13" x14ac:dyDescent="0.3">
      <c r="E53" s="21" t="s">
        <v>49</v>
      </c>
    </row>
    <row r="54" spans="5:7" ht="13" x14ac:dyDescent="0.3">
      <c r="E54" s="92" t="s">
        <v>44</v>
      </c>
      <c r="F54">
        <f>(F44 - F46) / (F47 - F46)</f>
        <v>0</v>
      </c>
    </row>
    <row r="55" spans="5:7" ht="13" x14ac:dyDescent="0.3">
      <c r="E55" s="92" t="s">
        <v>45</v>
      </c>
      <c r="F55">
        <f>F51-F50</f>
        <v>0</v>
      </c>
      <c r="G55">
        <f>G51-G50</f>
        <v>0</v>
      </c>
    </row>
    <row r="56" spans="5:7" ht="13" x14ac:dyDescent="0.3">
      <c r="E56" s="92" t="s">
        <v>46</v>
      </c>
      <c r="F56">
        <f>F50 + $F$54 * F55</f>
        <v>2.75</v>
      </c>
      <c r="G56">
        <f>G50 + $F$54 * G55</f>
        <v>2.75</v>
      </c>
    </row>
    <row r="57" spans="5:7" x14ac:dyDescent="0.25">
      <c r="E57" s="91"/>
    </row>
    <row r="58" spans="5:7" ht="13" x14ac:dyDescent="0.3">
      <c r="E58" s="94" t="s">
        <v>52</v>
      </c>
    </row>
    <row r="59" spans="5:7" ht="13" x14ac:dyDescent="0.3">
      <c r="E59" s="92" t="s">
        <v>51</v>
      </c>
      <c r="F59">
        <f>VBKUP</f>
        <v>5</v>
      </c>
      <c r="G59" t="s">
        <v>32</v>
      </c>
    </row>
    <row r="60" spans="5:7" ht="13" x14ac:dyDescent="0.3">
      <c r="E60" s="92" t="s">
        <v>68</v>
      </c>
      <c r="F60">
        <f>MAX(MIN(F59,5),3.3)</f>
        <v>5</v>
      </c>
      <c r="G60" t="s">
        <v>32</v>
      </c>
    </row>
    <row r="61" spans="5:7" x14ac:dyDescent="0.25">
      <c r="E61" s="91"/>
    </row>
    <row r="62" spans="5:7" ht="13" x14ac:dyDescent="0.3">
      <c r="E62" s="92" t="s">
        <v>43</v>
      </c>
      <c r="F62">
        <v>3.3</v>
      </c>
      <c r="G62" t="s">
        <v>32</v>
      </c>
    </row>
    <row r="63" spans="5:7" ht="13" x14ac:dyDescent="0.3">
      <c r="E63" s="92" t="s">
        <v>42</v>
      </c>
      <c r="F63">
        <v>5</v>
      </c>
      <c r="G63" t="s">
        <v>32</v>
      </c>
    </row>
    <row r="64" spans="5:7" x14ac:dyDescent="0.25">
      <c r="E64" s="91"/>
    </row>
    <row r="65" spans="3:7" ht="13" x14ac:dyDescent="0.3">
      <c r="E65" s="92" t="s">
        <v>44</v>
      </c>
      <c r="F65">
        <f>(F60 - F62) / (F63 - F62)</f>
        <v>1</v>
      </c>
    </row>
    <row r="66" spans="3:7" ht="13" x14ac:dyDescent="0.3">
      <c r="E66" s="92" t="s">
        <v>45</v>
      </c>
      <c r="F66">
        <f>(G56 - F56)</f>
        <v>0</v>
      </c>
    </row>
    <row r="67" spans="3:7" ht="13" x14ac:dyDescent="0.3">
      <c r="E67" s="92" t="s">
        <v>46</v>
      </c>
      <c r="F67" s="21">
        <f>F56 + (F65*F66)</f>
        <v>2.75</v>
      </c>
      <c r="G67" t="s">
        <v>32</v>
      </c>
    </row>
    <row r="68" spans="3:7" x14ac:dyDescent="0.25">
      <c r="E68" s="91"/>
    </row>
    <row r="69" spans="3:7" x14ac:dyDescent="0.25">
      <c r="D69" t="s">
        <v>53</v>
      </c>
      <c r="E69" s="91"/>
    </row>
    <row r="70" spans="3:7" x14ac:dyDescent="0.25">
      <c r="E70" s="91"/>
    </row>
    <row r="71" spans="3:7" x14ac:dyDescent="0.25">
      <c r="E71" s="91" t="s">
        <v>55</v>
      </c>
      <c r="F71">
        <f xml:space="preserve"> RSTK  * IBSTpk</f>
        <v>0.22</v>
      </c>
      <c r="G71" t="s">
        <v>56</v>
      </c>
    </row>
    <row r="72" spans="3:7" x14ac:dyDescent="0.25">
      <c r="E72" s="91" t="s">
        <v>54</v>
      </c>
      <c r="F72">
        <f xml:space="preserve"> F67 + RSTK  * IBSTpk</f>
        <v>2.97</v>
      </c>
      <c r="G72" t="s">
        <v>32</v>
      </c>
    </row>
    <row r="74" spans="3:7" x14ac:dyDescent="0.25">
      <c r="C74" s="91" t="s">
        <v>66</v>
      </c>
      <c r="D74" s="101"/>
      <c r="E74" s="102" t="s">
        <v>57</v>
      </c>
      <c r="F74" s="103">
        <f>0.5 * CCELL/Num * (POWER(VCAP,2) - POWER(F72,2))</f>
        <v>40.447749999999999</v>
      </c>
      <c r="G74" s="104" t="s">
        <v>58</v>
      </c>
    </row>
    <row r="75" spans="3:7" x14ac:dyDescent="0.25">
      <c r="D75" s="105"/>
      <c r="E75" s="90" t="s">
        <v>59</v>
      </c>
      <c r="F75" s="85">
        <f>F74*EFF/100</f>
        <v>32.358199999999997</v>
      </c>
      <c r="G75" s="97" t="s">
        <v>58</v>
      </c>
    </row>
    <row r="76" spans="3:7" x14ac:dyDescent="0.25">
      <c r="D76" s="105"/>
      <c r="E76" s="90" t="s">
        <v>60</v>
      </c>
      <c r="F76" s="85">
        <f>VBKUP * IOUT</f>
        <v>12.5</v>
      </c>
      <c r="G76" s="97" t="s">
        <v>61</v>
      </c>
    </row>
    <row r="77" spans="3:7" x14ac:dyDescent="0.25">
      <c r="D77" s="106"/>
      <c r="E77" s="107" t="s">
        <v>62</v>
      </c>
      <c r="F77" s="98">
        <f>F75/F76</f>
        <v>2.5886559999999998</v>
      </c>
      <c r="G77" s="99" t="s">
        <v>63</v>
      </c>
    </row>
  </sheetData>
  <sheetProtection selectLockedCells="1"/>
  <mergeCells count="5">
    <mergeCell ref="F30:G30"/>
    <mergeCell ref="B2:D2"/>
    <mergeCell ref="B14:D14"/>
    <mergeCell ref="F2:H2"/>
    <mergeCell ref="F14:H14"/>
  </mergeCells>
  <phoneticPr fontId="12" type="noConversion"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18</vt:i4>
      </vt:variant>
    </vt:vector>
  </HeadingPairs>
  <TitlesOfParts>
    <vt:vector size="20" baseType="lpstr">
      <vt:lpstr>LTC4041 Backup Time</vt:lpstr>
      <vt:lpstr>Calculations</vt:lpstr>
      <vt:lpstr>CCELL</vt:lpstr>
      <vt:lpstr>CCELL_EOL</vt:lpstr>
      <vt:lpstr>CSTK</vt:lpstr>
      <vt:lpstr>CSTK_EOLC</vt:lpstr>
      <vt:lpstr>CSTK_EOLR</vt:lpstr>
      <vt:lpstr>EFF</vt:lpstr>
      <vt:lpstr>IBSTpk</vt:lpstr>
      <vt:lpstr>IOUT</vt:lpstr>
      <vt:lpstr>L</vt:lpstr>
      <vt:lpstr>minVSCAP</vt:lpstr>
      <vt:lpstr>Num</vt:lpstr>
      <vt:lpstr>RCELL</vt:lpstr>
      <vt:lpstr>RCELL_EOL</vt:lpstr>
      <vt:lpstr>RSTK</vt:lpstr>
      <vt:lpstr>RSTK_EOLC</vt:lpstr>
      <vt:lpstr>RSTK_EOLR</vt:lpstr>
      <vt:lpstr>VBKUP</vt:lpstr>
      <vt:lpstr>VCAP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M. Merchant</dc:creator>
  <cp:lastModifiedBy>Pantely, Zachary</cp:lastModifiedBy>
  <cp:lastPrinted>2015-01-20T17:47:36Z</cp:lastPrinted>
  <dcterms:created xsi:type="dcterms:W3CDTF">2001-04-05T09:29:00Z</dcterms:created>
  <dcterms:modified xsi:type="dcterms:W3CDTF">2020-06-01T21:25:32Z</dcterms:modified>
</cp:coreProperties>
</file>